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4.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5.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6.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9.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0.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1.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4.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5.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6.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2.xml" ContentType="application/vnd.openxmlformats-officedocument.spreadsheetml.comment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9.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0.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1.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4.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5.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6.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xr:revisionPtr revIDLastSave="0" documentId="13_ncr:1_{93CA9F25-0B52-4A92-B5AA-26D0E6E08AAA}" xr6:coauthVersionLast="47" xr6:coauthVersionMax="47" xr10:uidLastSave="{00000000-0000-0000-0000-000000000000}"/>
  <bookViews>
    <workbookView xWindow="34515" yWindow="3885" windowWidth="28800" windowHeight="15435" tabRatio="731" xr2:uid="{ADFC5FA8-1A8C-4377-A280-BC7D7046DEFE}"/>
  </bookViews>
  <sheets>
    <sheet name="Impressum" sheetId="6" r:id="rId1"/>
    <sheet name="Referenz Pflasterwerk" sheetId="12" r:id="rId2"/>
    <sheet name="Eingabe Preise" sheetId="3" r:id="rId3"/>
    <sheet name="Default Preise" sheetId="13" r:id="rId4"/>
    <sheet name="Eingabe EF" sheetId="11" r:id="rId5"/>
    <sheet name="Default EF" sheetId="14" r:id="rId6"/>
    <sheet name="M1 Härtekammern" sheetId="4" r:id="rId7"/>
    <sheet name="M2 Fuhrpark" sheetId="23" r:id="rId8"/>
    <sheet name="M3 Effizienz Stapler" sheetId="24" r:id="rId9"/>
    <sheet name="M4 Grünstrom" sheetId="25" r:id="rId10"/>
    <sheet name="M5 PV-Anlage" sheetId="27" r:id="rId11"/>
    <sheet name="M6 allgemeine Effizienz" sheetId="28" r:id="rId12"/>
    <sheet name="M7 Rezeptur, Einsatzmenge" sheetId="29" r:id="rId13"/>
    <sheet name="M8 Rezeptur, geringerer EF" sheetId="30" r:id="rId14"/>
    <sheet name="M9 Rezeptur, Recycling" sheetId="31" r:id="rId15"/>
    <sheet name="Quellen" sheetId="9" r:id="rId16"/>
    <sheet name="Lizenzbedingungen Ecoinvent" sheetId="32" r:id="rId17"/>
    <sheet name="Drop-Down" sheetId="26"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29" l="1"/>
  <c r="D25" i="29"/>
  <c r="D23" i="29"/>
  <c r="E240" i="29" l="1"/>
  <c r="E239" i="29"/>
  <c r="E238" i="29"/>
  <c r="E237" i="29"/>
  <c r="E160" i="29"/>
  <c r="E159" i="29"/>
  <c r="E158" i="29"/>
  <c r="E157" i="29"/>
  <c r="D150" i="29"/>
  <c r="E242" i="29"/>
  <c r="H281" i="29" s="1"/>
  <c r="E162" i="29"/>
  <c r="H202" i="29" s="1"/>
  <c r="D150" i="31"/>
  <c r="H269" i="31"/>
  <c r="H268" i="31"/>
  <c r="H267" i="31"/>
  <c r="H266" i="31"/>
  <c r="H190" i="31"/>
  <c r="H189" i="31"/>
  <c r="H188" i="31"/>
  <c r="H187" i="31"/>
  <c r="O55" i="12"/>
  <c r="O56" i="12"/>
  <c r="O57" i="12"/>
  <c r="O54" i="12"/>
  <c r="P32" i="14" l="1"/>
  <c r="O67" i="12"/>
  <c r="I83" i="12" l="1"/>
  <c r="K83" i="12" s="1"/>
  <c r="I82" i="12"/>
  <c r="K82" i="12" s="1"/>
  <c r="D148" i="30"/>
  <c r="D149" i="29"/>
  <c r="D131" i="28"/>
  <c r="D126" i="27"/>
  <c r="D135" i="23"/>
  <c r="D126" i="4"/>
  <c r="X21" i="14"/>
  <c r="AA21" i="14" s="1"/>
  <c r="AA9" i="14"/>
  <c r="Z9" i="14"/>
  <c r="I74" i="12" l="1"/>
  <c r="X61" i="14"/>
  <c r="AA61" i="14" s="1"/>
  <c r="X60" i="14"/>
  <c r="AA60" i="14" s="1"/>
  <c r="X59" i="14"/>
  <c r="AA59" i="14" s="1"/>
  <c r="X58" i="14"/>
  <c r="AA58" i="14" s="1"/>
  <c r="X55" i="14"/>
  <c r="AA55" i="14" s="1"/>
  <c r="X51" i="14"/>
  <c r="AA51" i="14" s="1"/>
  <c r="X47" i="14"/>
  <c r="AA47" i="14" s="1"/>
  <c r="X43" i="14"/>
  <c r="AA43" i="14" s="1"/>
  <c r="X40" i="14"/>
  <c r="AA40" i="14" s="1"/>
  <c r="X39" i="14"/>
  <c r="AA39" i="14" s="1"/>
  <c r="X38" i="14"/>
  <c r="AA38" i="14" s="1"/>
  <c r="X37" i="14"/>
  <c r="AA37" i="14" s="1"/>
  <c r="X32" i="14"/>
  <c r="AA32" i="14" s="1"/>
  <c r="X33" i="14"/>
  <c r="AA33" i="14" s="1"/>
  <c r="X34" i="14"/>
  <c r="AA34" i="14" s="1"/>
  <c r="X29" i="14"/>
  <c r="AA29" i="14" s="1"/>
  <c r="X25" i="14"/>
  <c r="AA25" i="14" s="1"/>
  <c r="X20" i="14"/>
  <c r="AA20" i="14" s="1"/>
  <c r="X19" i="14"/>
  <c r="AA19" i="14" s="1"/>
  <c r="X16" i="14"/>
  <c r="AA16" i="14" s="1"/>
  <c r="X15" i="14"/>
  <c r="AA15" i="14" s="1"/>
  <c r="X13" i="14"/>
  <c r="AA13" i="14" s="1"/>
  <c r="V13" i="14"/>
  <c r="Y13" i="14" s="1"/>
  <c r="X11" i="14"/>
  <c r="AA11" i="14" s="1"/>
  <c r="V11" i="14"/>
  <c r="Y11" i="14" s="1"/>
  <c r="X8" i="14"/>
  <c r="AA8" i="14" s="1"/>
  <c r="V8" i="14"/>
  <c r="Y8" i="14" s="1"/>
  <c r="X7" i="14"/>
  <c r="AA7" i="14" s="1"/>
  <c r="V7" i="14"/>
  <c r="Y7" i="14" s="1"/>
  <c r="J213" i="31" l="1"/>
  <c r="J292" i="31"/>
  <c r="G289" i="31"/>
  <c r="F289" i="31"/>
  <c r="G210" i="31"/>
  <c r="F210" i="31"/>
  <c r="H209" i="30"/>
  <c r="D135" i="24"/>
  <c r="J20" i="13" l="1"/>
  <c r="D89" i="12"/>
  <c r="D88" i="12"/>
  <c r="D87" i="12"/>
  <c r="D86" i="12"/>
  <c r="D85" i="12"/>
  <c r="D84" i="12"/>
  <c r="D83" i="12"/>
  <c r="D82" i="12"/>
  <c r="D81" i="12"/>
  <c r="H213" i="29"/>
  <c r="J18" i="13" l="1"/>
  <c r="J9" i="13"/>
  <c r="J10" i="13"/>
  <c r="J13" i="13"/>
  <c r="G307" i="31" l="1"/>
  <c r="F307" i="31"/>
  <c r="H305" i="31"/>
  <c r="G305" i="31"/>
  <c r="F305" i="31"/>
  <c r="H304" i="31"/>
  <c r="G304" i="31"/>
  <c r="F304" i="31"/>
  <c r="G303" i="31"/>
  <c r="F303" i="31"/>
  <c r="H300" i="31"/>
  <c r="G300" i="31"/>
  <c r="F300" i="31"/>
  <c r="G299" i="31"/>
  <c r="F299" i="31"/>
  <c r="H298" i="31"/>
  <c r="G298" i="31"/>
  <c r="F298" i="31"/>
  <c r="G295" i="31"/>
  <c r="F295" i="31"/>
  <c r="H294" i="31"/>
  <c r="G294" i="31"/>
  <c r="F294" i="31"/>
  <c r="J291" i="31"/>
  <c r="H291" i="31"/>
  <c r="K291" i="31" s="1"/>
  <c r="J290" i="31"/>
  <c r="H290" i="31"/>
  <c r="G287" i="31"/>
  <c r="F287" i="31"/>
  <c r="G286" i="31"/>
  <c r="F286" i="31"/>
  <c r="G285" i="31"/>
  <c r="F285" i="31"/>
  <c r="G284" i="31"/>
  <c r="F284" i="31"/>
  <c r="G281" i="31"/>
  <c r="F281" i="31"/>
  <c r="G280" i="31"/>
  <c r="F280" i="31"/>
  <c r="S279" i="31"/>
  <c r="G279" i="31"/>
  <c r="F279" i="31"/>
  <c r="S276" i="31"/>
  <c r="G276" i="31"/>
  <c r="F276" i="31"/>
  <c r="G274" i="31"/>
  <c r="F274" i="31"/>
  <c r="G273" i="31"/>
  <c r="F273" i="31"/>
  <c r="G272" i="31"/>
  <c r="F272" i="31"/>
  <c r="S264" i="31"/>
  <c r="W98" i="31" s="1"/>
  <c r="G263" i="31"/>
  <c r="F263" i="31"/>
  <c r="G262" i="31"/>
  <c r="F262" i="31"/>
  <c r="G260" i="31"/>
  <c r="G259" i="31"/>
  <c r="S257" i="31"/>
  <c r="W95" i="31" s="1"/>
  <c r="W134" i="31" s="1"/>
  <c r="H257" i="31"/>
  <c r="G257" i="31"/>
  <c r="F257" i="31"/>
  <c r="G256" i="31"/>
  <c r="S250" i="31"/>
  <c r="W94" i="31" s="1"/>
  <c r="W133" i="31" s="1"/>
  <c r="H250" i="31"/>
  <c r="G250" i="31"/>
  <c r="F250" i="31"/>
  <c r="G269" i="31"/>
  <c r="E238" i="31"/>
  <c r="H274" i="31" s="1"/>
  <c r="E237" i="31"/>
  <c r="H273" i="31" s="1"/>
  <c r="E236" i="31"/>
  <c r="G228" i="31"/>
  <c r="F228" i="31"/>
  <c r="H226" i="31"/>
  <c r="G226" i="31"/>
  <c r="F226" i="31"/>
  <c r="H225" i="31"/>
  <c r="G225" i="31"/>
  <c r="F225" i="31"/>
  <c r="G224" i="31"/>
  <c r="F224" i="31"/>
  <c r="H221" i="31"/>
  <c r="G221" i="31"/>
  <c r="F221" i="31"/>
  <c r="G220" i="31"/>
  <c r="F220" i="31"/>
  <c r="H219" i="31"/>
  <c r="G219" i="31"/>
  <c r="F219" i="31"/>
  <c r="G216" i="31"/>
  <c r="F216" i="31"/>
  <c r="H215" i="31"/>
  <c r="G215" i="31"/>
  <c r="F215" i="31"/>
  <c r="J212" i="31"/>
  <c r="H212" i="31"/>
  <c r="K212" i="31" s="1"/>
  <c r="J211" i="31"/>
  <c r="H211" i="31"/>
  <c r="G208" i="31"/>
  <c r="F208" i="31"/>
  <c r="G207" i="31"/>
  <c r="F207" i="31"/>
  <c r="G206" i="31"/>
  <c r="F206" i="31"/>
  <c r="G205" i="31"/>
  <c r="F205" i="31"/>
  <c r="G202" i="31"/>
  <c r="F202" i="31"/>
  <c r="G201" i="31"/>
  <c r="F201" i="31"/>
  <c r="G200" i="31"/>
  <c r="F200" i="31"/>
  <c r="G197" i="31"/>
  <c r="F197" i="31"/>
  <c r="G195" i="31"/>
  <c r="F195" i="31"/>
  <c r="G194" i="31"/>
  <c r="F194" i="31"/>
  <c r="G193" i="31"/>
  <c r="F193" i="31"/>
  <c r="S186" i="31"/>
  <c r="S278" i="31" s="1"/>
  <c r="S185" i="31"/>
  <c r="V98" i="31" s="1"/>
  <c r="S184" i="31"/>
  <c r="S275" i="31" s="1"/>
  <c r="G184" i="31"/>
  <c r="F184" i="31"/>
  <c r="G183" i="31"/>
  <c r="F183" i="31"/>
  <c r="G181" i="31"/>
  <c r="G180" i="31"/>
  <c r="S178" i="31"/>
  <c r="V95" i="31" s="1"/>
  <c r="V134" i="31" s="1"/>
  <c r="H178" i="31"/>
  <c r="G178" i="31"/>
  <c r="F178" i="31"/>
  <c r="G177" i="31"/>
  <c r="S171" i="31"/>
  <c r="V94" i="31" s="1"/>
  <c r="V133" i="31" s="1"/>
  <c r="H171" i="31"/>
  <c r="G171" i="31"/>
  <c r="F171" i="31"/>
  <c r="E158" i="31"/>
  <c r="H195" i="31" s="1"/>
  <c r="E157" i="31"/>
  <c r="E156" i="31"/>
  <c r="T139" i="31"/>
  <c r="W138" i="31"/>
  <c r="V138" i="31"/>
  <c r="U138" i="31"/>
  <c r="T138" i="31"/>
  <c r="O138" i="31"/>
  <c r="N138" i="31"/>
  <c r="M138" i="31"/>
  <c r="L138" i="31"/>
  <c r="W137" i="31"/>
  <c r="V137" i="31"/>
  <c r="U137" i="31"/>
  <c r="T137" i="31"/>
  <c r="O137" i="31"/>
  <c r="N137" i="31"/>
  <c r="M137" i="31"/>
  <c r="L137" i="31"/>
  <c r="U136" i="31"/>
  <c r="T136" i="31"/>
  <c r="O136" i="31"/>
  <c r="N136" i="31"/>
  <c r="M136" i="31"/>
  <c r="L136" i="31"/>
  <c r="M135" i="31"/>
  <c r="D134" i="31"/>
  <c r="G133" i="31"/>
  <c r="F133" i="31"/>
  <c r="E133" i="31"/>
  <c r="D133" i="31"/>
  <c r="G132" i="31"/>
  <c r="F132" i="31"/>
  <c r="E132" i="31"/>
  <c r="D132" i="31"/>
  <c r="G131" i="31"/>
  <c r="F131" i="31"/>
  <c r="E131" i="31"/>
  <c r="D131" i="31"/>
  <c r="D130" i="31"/>
  <c r="D129" i="31"/>
  <c r="D128" i="31"/>
  <c r="D100" i="31"/>
  <c r="L139" i="31" s="1"/>
  <c r="D99" i="31"/>
  <c r="D98" i="31"/>
  <c r="D96" i="31"/>
  <c r="L135" i="31" s="1"/>
  <c r="D95" i="31"/>
  <c r="L134" i="31" s="1"/>
  <c r="D94" i="31"/>
  <c r="L133" i="31" s="1"/>
  <c r="D93" i="31"/>
  <c r="L132" i="31" s="1"/>
  <c r="D92" i="31"/>
  <c r="L131" i="31" s="1"/>
  <c r="D91" i="31"/>
  <c r="L130" i="31" s="1"/>
  <c r="D90" i="31"/>
  <c r="L129" i="31" s="1"/>
  <c r="D89" i="31"/>
  <c r="L128" i="31" s="1"/>
  <c r="G278" i="30"/>
  <c r="G277" i="30"/>
  <c r="F278" i="30"/>
  <c r="F277" i="30"/>
  <c r="K209" i="30"/>
  <c r="G200" i="30"/>
  <c r="G199" i="30"/>
  <c r="F200" i="30"/>
  <c r="F199" i="30"/>
  <c r="G303" i="30"/>
  <c r="F303" i="30"/>
  <c r="H301" i="30"/>
  <c r="G301" i="30"/>
  <c r="F301" i="30"/>
  <c r="H300" i="30"/>
  <c r="G300" i="30"/>
  <c r="F300" i="30"/>
  <c r="G299" i="30"/>
  <c r="F299" i="30"/>
  <c r="H296" i="30"/>
  <c r="G296" i="30"/>
  <c r="F296" i="30"/>
  <c r="G295" i="30"/>
  <c r="F295" i="30"/>
  <c r="H294" i="30"/>
  <c r="G294" i="30"/>
  <c r="F294" i="30"/>
  <c r="G291" i="30"/>
  <c r="F291" i="30"/>
  <c r="H290" i="30"/>
  <c r="G290" i="30"/>
  <c r="F290" i="30"/>
  <c r="J288" i="30"/>
  <c r="H288" i="30"/>
  <c r="K288" i="30" s="1"/>
  <c r="J287" i="30"/>
  <c r="H287" i="30"/>
  <c r="H286" i="30" s="1"/>
  <c r="G94" i="30" s="1"/>
  <c r="G286" i="30"/>
  <c r="F286" i="30"/>
  <c r="G284" i="30"/>
  <c r="F284" i="30"/>
  <c r="G283" i="30"/>
  <c r="F283" i="30"/>
  <c r="G282" i="30"/>
  <c r="F282" i="30"/>
  <c r="G281" i="30"/>
  <c r="F281" i="30"/>
  <c r="S276" i="30"/>
  <c r="G276" i="30"/>
  <c r="F276" i="30"/>
  <c r="S273" i="30"/>
  <c r="G273" i="30"/>
  <c r="F273" i="30"/>
  <c r="H271" i="30"/>
  <c r="G271" i="30"/>
  <c r="F271" i="30"/>
  <c r="H270" i="30"/>
  <c r="G270" i="30"/>
  <c r="F270" i="30"/>
  <c r="G269" i="30"/>
  <c r="F269" i="30"/>
  <c r="S261" i="30"/>
  <c r="G260" i="30"/>
  <c r="F260" i="30"/>
  <c r="G259" i="30"/>
  <c r="F259" i="30"/>
  <c r="G257" i="30"/>
  <c r="G256" i="30"/>
  <c r="S254" i="30"/>
  <c r="W93" i="30" s="1"/>
  <c r="W132" i="30" s="1"/>
  <c r="H254" i="30"/>
  <c r="G254" i="30"/>
  <c r="F254" i="30"/>
  <c r="G253" i="30"/>
  <c r="S247" i="30"/>
  <c r="W92" i="30" s="1"/>
  <c r="W131" i="30" s="1"/>
  <c r="H247" i="30"/>
  <c r="G247" i="30"/>
  <c r="F247" i="30"/>
  <c r="E236" i="30"/>
  <c r="H266" i="30" s="1"/>
  <c r="E235" i="30"/>
  <c r="E234" i="30"/>
  <c r="G264" i="30" s="1"/>
  <c r="E233" i="30"/>
  <c r="G225" i="30"/>
  <c r="F225" i="30"/>
  <c r="H223" i="30"/>
  <c r="G223" i="30"/>
  <c r="F223" i="30"/>
  <c r="H222" i="30"/>
  <c r="G222" i="30"/>
  <c r="F222" i="30"/>
  <c r="G221" i="30"/>
  <c r="F221" i="30"/>
  <c r="H218" i="30"/>
  <c r="G218" i="30"/>
  <c r="F218" i="30"/>
  <c r="G217" i="30"/>
  <c r="F217" i="30"/>
  <c r="H216" i="30"/>
  <c r="G216" i="30"/>
  <c r="F216" i="30"/>
  <c r="G213" i="30"/>
  <c r="F213" i="30"/>
  <c r="H212" i="30"/>
  <c r="G212" i="30"/>
  <c r="F212" i="30"/>
  <c r="J210" i="30"/>
  <c r="H210" i="30"/>
  <c r="J209" i="30"/>
  <c r="G208" i="30"/>
  <c r="F208" i="30"/>
  <c r="G206" i="30"/>
  <c r="F206" i="30"/>
  <c r="G205" i="30"/>
  <c r="F205" i="30"/>
  <c r="G204" i="30"/>
  <c r="F204" i="30"/>
  <c r="G203" i="30"/>
  <c r="F203" i="30"/>
  <c r="G198" i="30"/>
  <c r="F198" i="30"/>
  <c r="G195" i="30"/>
  <c r="F195" i="30"/>
  <c r="H193" i="30"/>
  <c r="G193" i="30"/>
  <c r="F193" i="30"/>
  <c r="H192" i="30"/>
  <c r="G192" i="30"/>
  <c r="F192" i="30"/>
  <c r="G191" i="30"/>
  <c r="F191" i="30"/>
  <c r="S184" i="30"/>
  <c r="S275" i="30" s="1"/>
  <c r="S262" i="30" s="1"/>
  <c r="W97" i="30" s="1"/>
  <c r="S183" i="30"/>
  <c r="V96" i="30" s="1"/>
  <c r="S182" i="30"/>
  <c r="S272" i="30" s="1"/>
  <c r="G182" i="30"/>
  <c r="F182" i="30"/>
  <c r="G181" i="30"/>
  <c r="F181" i="30"/>
  <c r="G179" i="30"/>
  <c r="G178" i="30"/>
  <c r="S176" i="30"/>
  <c r="V93" i="30" s="1"/>
  <c r="V132" i="30" s="1"/>
  <c r="H176" i="30"/>
  <c r="G176" i="30"/>
  <c r="F176" i="30"/>
  <c r="G175" i="30"/>
  <c r="S169" i="30"/>
  <c r="V92" i="30" s="1"/>
  <c r="V131" i="30" s="1"/>
  <c r="H169" i="30"/>
  <c r="G169" i="30"/>
  <c r="F169" i="30"/>
  <c r="E157" i="30"/>
  <c r="H188" i="30" s="1"/>
  <c r="E156" i="30"/>
  <c r="E155" i="30"/>
  <c r="G186" i="30" s="1"/>
  <c r="E154" i="30"/>
  <c r="T137" i="30"/>
  <c r="W136" i="30"/>
  <c r="V136" i="30"/>
  <c r="U136" i="30"/>
  <c r="T136" i="30"/>
  <c r="O136" i="30"/>
  <c r="N136" i="30"/>
  <c r="M136" i="30"/>
  <c r="L136" i="30"/>
  <c r="W135" i="30"/>
  <c r="V135" i="30"/>
  <c r="U135" i="30"/>
  <c r="T135" i="30"/>
  <c r="O135" i="30"/>
  <c r="N135" i="30"/>
  <c r="M135" i="30"/>
  <c r="L135" i="30"/>
  <c r="U134" i="30"/>
  <c r="T134" i="30"/>
  <c r="O134" i="30"/>
  <c r="N134" i="30"/>
  <c r="M134" i="30"/>
  <c r="L134" i="30"/>
  <c r="O133" i="30"/>
  <c r="N133" i="30"/>
  <c r="M133" i="30"/>
  <c r="L133" i="30"/>
  <c r="D132" i="30"/>
  <c r="G131" i="30"/>
  <c r="F131" i="30"/>
  <c r="E131" i="30"/>
  <c r="D131" i="30"/>
  <c r="G130" i="30"/>
  <c r="F130" i="30"/>
  <c r="E130" i="30"/>
  <c r="D130" i="30"/>
  <c r="G129" i="30"/>
  <c r="F129" i="30"/>
  <c r="E129" i="30"/>
  <c r="D129" i="30"/>
  <c r="D128" i="30"/>
  <c r="D127" i="30"/>
  <c r="D126" i="30"/>
  <c r="D98" i="30"/>
  <c r="L137" i="30" s="1"/>
  <c r="D97" i="30"/>
  <c r="W96" i="30"/>
  <c r="D96" i="30"/>
  <c r="V95" i="30"/>
  <c r="V134" i="30" s="1"/>
  <c r="D94" i="30"/>
  <c r="D93" i="30"/>
  <c r="L132" i="30" s="1"/>
  <c r="D92" i="30"/>
  <c r="L131" i="30" s="1"/>
  <c r="D91" i="30"/>
  <c r="L130" i="30" s="1"/>
  <c r="D90" i="30"/>
  <c r="L129" i="30" s="1"/>
  <c r="D89" i="30"/>
  <c r="L128" i="30" s="1"/>
  <c r="D88" i="30"/>
  <c r="L127" i="30" s="1"/>
  <c r="D87" i="30"/>
  <c r="L126" i="30" s="1"/>
  <c r="E241" i="31" l="1"/>
  <c r="E161" i="31"/>
  <c r="F188" i="31"/>
  <c r="H194" i="31"/>
  <c r="K194" i="31" s="1"/>
  <c r="G190" i="31"/>
  <c r="F190" i="31"/>
  <c r="F266" i="31"/>
  <c r="F187" i="31"/>
  <c r="V97" i="31"/>
  <c r="V136" i="31" s="1"/>
  <c r="J210" i="31"/>
  <c r="K211" i="31"/>
  <c r="V99" i="31"/>
  <c r="S263" i="31"/>
  <c r="W97" i="31" s="1"/>
  <c r="W136" i="31" s="1"/>
  <c r="S265" i="31"/>
  <c r="W99" i="31" s="1"/>
  <c r="G261" i="31"/>
  <c r="F185" i="30"/>
  <c r="J221" i="31"/>
  <c r="J226" i="31"/>
  <c r="J220" i="31"/>
  <c r="J263" i="31"/>
  <c r="J274" i="31"/>
  <c r="J307" i="31"/>
  <c r="J228" i="31"/>
  <c r="J195" i="30"/>
  <c r="J192" i="30"/>
  <c r="F302" i="31"/>
  <c r="J217" i="30"/>
  <c r="J276" i="31"/>
  <c r="J281" i="31"/>
  <c r="J221" i="30"/>
  <c r="J216" i="31"/>
  <c r="J218" i="30"/>
  <c r="J197" i="31"/>
  <c r="J205" i="31"/>
  <c r="K274" i="31"/>
  <c r="J207" i="31"/>
  <c r="K222" i="30"/>
  <c r="J262" i="31"/>
  <c r="G271" i="31"/>
  <c r="F297" i="31"/>
  <c r="F192" i="31"/>
  <c r="K193" i="30"/>
  <c r="J193" i="31"/>
  <c r="F278" i="31"/>
  <c r="J286" i="31"/>
  <c r="J298" i="31"/>
  <c r="K301" i="30"/>
  <c r="J272" i="31"/>
  <c r="J304" i="31"/>
  <c r="J269" i="30"/>
  <c r="J282" i="30"/>
  <c r="J194" i="31"/>
  <c r="G297" i="31"/>
  <c r="J270" i="30"/>
  <c r="G199" i="31"/>
  <c r="K221" i="31"/>
  <c r="K226" i="31"/>
  <c r="G283" i="31"/>
  <c r="K300" i="30"/>
  <c r="J260" i="30"/>
  <c r="J284" i="30"/>
  <c r="K219" i="31"/>
  <c r="J280" i="31"/>
  <c r="J303" i="31"/>
  <c r="F190" i="30"/>
  <c r="G280" i="30"/>
  <c r="F199" i="31"/>
  <c r="G223" i="31"/>
  <c r="G182" i="31"/>
  <c r="G192" i="31"/>
  <c r="J200" i="31"/>
  <c r="K215" i="31"/>
  <c r="F261" i="31"/>
  <c r="K304" i="31"/>
  <c r="F182" i="31"/>
  <c r="K195" i="31"/>
  <c r="J201" i="31"/>
  <c r="G204" i="31"/>
  <c r="K298" i="31"/>
  <c r="K300" i="31"/>
  <c r="K305" i="31"/>
  <c r="K290" i="30"/>
  <c r="J273" i="30"/>
  <c r="F258" i="30"/>
  <c r="J224" i="31"/>
  <c r="J257" i="31"/>
  <c r="O103" i="31" s="1"/>
  <c r="G278" i="31"/>
  <c r="J287" i="31"/>
  <c r="J294" i="31"/>
  <c r="K192" i="30"/>
  <c r="J300" i="30"/>
  <c r="K216" i="30"/>
  <c r="G258" i="30"/>
  <c r="K225" i="31"/>
  <c r="F271" i="31"/>
  <c r="J271" i="31" s="1"/>
  <c r="J284" i="31"/>
  <c r="G302" i="31"/>
  <c r="F180" i="30"/>
  <c r="G202" i="30"/>
  <c r="G215" i="30"/>
  <c r="G293" i="30"/>
  <c r="G298" i="30"/>
  <c r="J205" i="30"/>
  <c r="G220" i="30"/>
  <c r="J271" i="30"/>
  <c r="J303" i="30"/>
  <c r="G218" i="31"/>
  <c r="J300" i="31"/>
  <c r="K171" i="31"/>
  <c r="K178" i="31"/>
  <c r="J171" i="31"/>
  <c r="N101" i="31" s="1"/>
  <c r="K250" i="31"/>
  <c r="K257" i="31"/>
  <c r="J169" i="30"/>
  <c r="N99" i="30" s="1"/>
  <c r="K169" i="30"/>
  <c r="F268" i="31"/>
  <c r="G266" i="31"/>
  <c r="J184" i="31"/>
  <c r="G188" i="31"/>
  <c r="F223" i="31"/>
  <c r="F269" i="31"/>
  <c r="F283" i="31"/>
  <c r="K290" i="31"/>
  <c r="K294" i="31"/>
  <c r="J183" i="31"/>
  <c r="G187" i="31"/>
  <c r="J195" i="31"/>
  <c r="J206" i="31"/>
  <c r="G268" i="31"/>
  <c r="J279" i="31"/>
  <c r="J299" i="31"/>
  <c r="J178" i="31"/>
  <c r="N103" i="31" s="1"/>
  <c r="F189" i="31"/>
  <c r="J202" i="31"/>
  <c r="F218" i="31"/>
  <c r="J219" i="31"/>
  <c r="J250" i="31"/>
  <c r="O101" i="31" s="1"/>
  <c r="J273" i="31"/>
  <c r="J289" i="31"/>
  <c r="J295" i="31"/>
  <c r="J305" i="31"/>
  <c r="G189" i="31"/>
  <c r="J208" i="31"/>
  <c r="J215" i="31"/>
  <c r="J225" i="31"/>
  <c r="F267" i="31"/>
  <c r="K273" i="31"/>
  <c r="J285" i="31"/>
  <c r="F204" i="31"/>
  <c r="G267" i="31"/>
  <c r="H208" i="30"/>
  <c r="F94" i="30" s="1"/>
  <c r="F293" i="30"/>
  <c r="J247" i="30"/>
  <c r="O99" i="30" s="1"/>
  <c r="K254" i="30"/>
  <c r="F268" i="30"/>
  <c r="J290" i="30"/>
  <c r="J294" i="30"/>
  <c r="G190" i="30"/>
  <c r="K210" i="30"/>
  <c r="K270" i="30"/>
  <c r="K294" i="30"/>
  <c r="J182" i="30"/>
  <c r="K212" i="30"/>
  <c r="K218" i="30"/>
  <c r="J225" i="30"/>
  <c r="K271" i="30"/>
  <c r="J193" i="30"/>
  <c r="S260" i="30"/>
  <c r="W95" i="30" s="1"/>
  <c r="W134" i="30" s="1"/>
  <c r="J191" i="30"/>
  <c r="J203" i="30"/>
  <c r="K247" i="30"/>
  <c r="G268" i="30"/>
  <c r="K176" i="30"/>
  <c r="G180" i="30"/>
  <c r="F220" i="30"/>
  <c r="J277" i="30"/>
  <c r="K286" i="30"/>
  <c r="V97" i="30"/>
  <c r="F188" i="30"/>
  <c r="J198" i="30"/>
  <c r="J200" i="30"/>
  <c r="J208" i="30"/>
  <c r="J213" i="30"/>
  <c r="J223" i="30"/>
  <c r="F263" i="30"/>
  <c r="F266" i="30"/>
  <c r="F280" i="30"/>
  <c r="J281" i="30"/>
  <c r="K287" i="30"/>
  <c r="J296" i="30"/>
  <c r="J181" i="30"/>
  <c r="G185" i="30"/>
  <c r="G188" i="30"/>
  <c r="J204" i="30"/>
  <c r="K223" i="30"/>
  <c r="J259" i="30"/>
  <c r="G263" i="30"/>
  <c r="G266" i="30"/>
  <c r="K296" i="30"/>
  <c r="J176" i="30"/>
  <c r="N101" i="30" s="1"/>
  <c r="F187" i="30"/>
  <c r="F215" i="30"/>
  <c r="J216" i="30"/>
  <c r="J254" i="30"/>
  <c r="O101" i="30" s="1"/>
  <c r="F265" i="30"/>
  <c r="J283" i="30"/>
  <c r="F298" i="30"/>
  <c r="J299" i="30"/>
  <c r="G187" i="30"/>
  <c r="J206" i="30"/>
  <c r="J212" i="30"/>
  <c r="J222" i="30"/>
  <c r="G265" i="30"/>
  <c r="J276" i="30"/>
  <c r="J295" i="30"/>
  <c r="F202" i="30"/>
  <c r="G275" i="30"/>
  <c r="J286" i="30"/>
  <c r="J291" i="30"/>
  <c r="J301" i="30"/>
  <c r="F186" i="30"/>
  <c r="F264" i="30"/>
  <c r="E244" i="29"/>
  <c r="E243" i="29"/>
  <c r="F269" i="29"/>
  <c r="H271" i="29"/>
  <c r="F189" i="29"/>
  <c r="H293" i="29"/>
  <c r="H292" i="29"/>
  <c r="H214" i="29"/>
  <c r="F210" i="29"/>
  <c r="E164" i="29"/>
  <c r="E163" i="29"/>
  <c r="H192" i="29"/>
  <c r="G190" i="29"/>
  <c r="G305" i="30" l="1"/>
  <c r="J302" i="31"/>
  <c r="J188" i="31"/>
  <c r="K190" i="31"/>
  <c r="J190" i="31"/>
  <c r="K208" i="30"/>
  <c r="I24" i="31"/>
  <c r="H292" i="31"/>
  <c r="E24" i="31"/>
  <c r="H213" i="31"/>
  <c r="J261" i="31"/>
  <c r="J199" i="31"/>
  <c r="J220" i="30"/>
  <c r="J297" i="31"/>
  <c r="J268" i="31"/>
  <c r="J293" i="30"/>
  <c r="J278" i="31"/>
  <c r="J192" i="31"/>
  <c r="J190" i="30"/>
  <c r="J180" i="30"/>
  <c r="J258" i="30"/>
  <c r="J182" i="31"/>
  <c r="J268" i="30"/>
  <c r="G186" i="31"/>
  <c r="F265" i="31"/>
  <c r="F309" i="31" s="1"/>
  <c r="G265" i="31"/>
  <c r="G309" i="31" s="1"/>
  <c r="J266" i="31"/>
  <c r="J189" i="31"/>
  <c r="J283" i="31"/>
  <c r="J267" i="31"/>
  <c r="J187" i="31"/>
  <c r="K269" i="31"/>
  <c r="J269" i="31"/>
  <c r="J223" i="31"/>
  <c r="F186" i="31"/>
  <c r="J204" i="31"/>
  <c r="J218" i="31"/>
  <c r="J199" i="30"/>
  <c r="J280" i="30"/>
  <c r="J187" i="30"/>
  <c r="K266" i="30"/>
  <c r="J266" i="30"/>
  <c r="G262" i="30"/>
  <c r="J298" i="30"/>
  <c r="K188" i="30"/>
  <c r="J188" i="30"/>
  <c r="J202" i="30"/>
  <c r="J215" i="30"/>
  <c r="J185" i="30"/>
  <c r="F184" i="30"/>
  <c r="J186" i="30"/>
  <c r="J265" i="30"/>
  <c r="G184" i="30"/>
  <c r="J278" i="30"/>
  <c r="J263" i="30"/>
  <c r="F262" i="30"/>
  <c r="F197" i="30"/>
  <c r="F275" i="30"/>
  <c r="F305" i="30" s="1"/>
  <c r="J264" i="30"/>
  <c r="G197" i="30"/>
  <c r="G269" i="29"/>
  <c r="F282" i="29"/>
  <c r="G282" i="29"/>
  <c r="F270" i="29"/>
  <c r="G270" i="29"/>
  <c r="F283" i="29"/>
  <c r="F268" i="29"/>
  <c r="G283" i="29"/>
  <c r="G268" i="29"/>
  <c r="F271" i="29"/>
  <c r="G271" i="29"/>
  <c r="F204" i="29"/>
  <c r="G189" i="29"/>
  <c r="F192" i="29"/>
  <c r="G192" i="29"/>
  <c r="G204" i="29"/>
  <c r="F190" i="29"/>
  <c r="F191" i="29"/>
  <c r="F203" i="29"/>
  <c r="G191" i="29"/>
  <c r="G203" i="29"/>
  <c r="H289" i="31" l="1"/>
  <c r="K292" i="31"/>
  <c r="K213" i="31"/>
  <c r="H210" i="31"/>
  <c r="J265" i="31"/>
  <c r="J186" i="31"/>
  <c r="J262" i="30"/>
  <c r="J275" i="30"/>
  <c r="J197" i="30"/>
  <c r="J184" i="30"/>
  <c r="M136" i="29"/>
  <c r="L136" i="29"/>
  <c r="D97" i="29"/>
  <c r="K293" i="29"/>
  <c r="J293" i="29"/>
  <c r="K292" i="29"/>
  <c r="J292" i="29"/>
  <c r="H291" i="29"/>
  <c r="G97" i="29" s="1"/>
  <c r="O136" i="29" s="1"/>
  <c r="G291" i="29"/>
  <c r="F291" i="29"/>
  <c r="H212" i="29"/>
  <c r="F97" i="29" s="1"/>
  <c r="N136" i="29" s="1"/>
  <c r="G212" i="29"/>
  <c r="F212" i="29"/>
  <c r="K214" i="29"/>
  <c r="J214" i="29"/>
  <c r="K213" i="29"/>
  <c r="J213" i="29"/>
  <c r="Q36" i="12"/>
  <c r="S250" i="29"/>
  <c r="H252" i="29"/>
  <c r="G252" i="29"/>
  <c r="F252" i="29"/>
  <c r="S172" i="29"/>
  <c r="H173" i="29"/>
  <c r="G173" i="29"/>
  <c r="F173" i="29"/>
  <c r="G308" i="29"/>
  <c r="F308" i="29"/>
  <c r="H306" i="29"/>
  <c r="G306" i="29"/>
  <c r="F306" i="29"/>
  <c r="H305" i="29"/>
  <c r="G305" i="29"/>
  <c r="F305" i="29"/>
  <c r="G304" i="29"/>
  <c r="F304" i="29"/>
  <c r="H301" i="29"/>
  <c r="G301" i="29"/>
  <c r="F301" i="29"/>
  <c r="G300" i="29"/>
  <c r="F300" i="29"/>
  <c r="H299" i="29"/>
  <c r="G299" i="29"/>
  <c r="F299" i="29"/>
  <c r="G296" i="29"/>
  <c r="F296" i="29"/>
  <c r="H295" i="29"/>
  <c r="G295" i="29"/>
  <c r="F295" i="29"/>
  <c r="G289" i="29"/>
  <c r="F289" i="29"/>
  <c r="G288" i="29"/>
  <c r="F288" i="29"/>
  <c r="G287" i="29"/>
  <c r="F287" i="29"/>
  <c r="G286" i="29"/>
  <c r="F286" i="29"/>
  <c r="S279" i="29"/>
  <c r="G281" i="29"/>
  <c r="F281" i="29"/>
  <c r="S276" i="29"/>
  <c r="G278" i="29"/>
  <c r="F278" i="29"/>
  <c r="H276" i="29"/>
  <c r="G276" i="29"/>
  <c r="F276" i="29"/>
  <c r="H275" i="29"/>
  <c r="G275" i="29"/>
  <c r="F275" i="29"/>
  <c r="G274" i="29"/>
  <c r="F274" i="29"/>
  <c r="S264" i="29"/>
  <c r="W99" i="29" s="1"/>
  <c r="G265" i="29"/>
  <c r="F265" i="29"/>
  <c r="G264" i="29"/>
  <c r="F264" i="29"/>
  <c r="G262" i="29"/>
  <c r="G261" i="29"/>
  <c r="S257" i="29"/>
  <c r="W96" i="29" s="1"/>
  <c r="W135" i="29" s="1"/>
  <c r="H259" i="29"/>
  <c r="G259" i="29"/>
  <c r="F259" i="29"/>
  <c r="G258" i="29"/>
  <c r="G229" i="29"/>
  <c r="F229" i="29"/>
  <c r="H227" i="29"/>
  <c r="G227" i="29"/>
  <c r="F227" i="29"/>
  <c r="H226" i="29"/>
  <c r="G226" i="29"/>
  <c r="F226" i="29"/>
  <c r="G225" i="29"/>
  <c r="F225" i="29"/>
  <c r="H222" i="29"/>
  <c r="G222" i="29"/>
  <c r="F222" i="29"/>
  <c r="G221" i="29"/>
  <c r="F221" i="29"/>
  <c r="H220" i="29"/>
  <c r="G220" i="29"/>
  <c r="F220" i="29"/>
  <c r="G217" i="29"/>
  <c r="F217" i="29"/>
  <c r="H216" i="29"/>
  <c r="G216" i="29"/>
  <c r="F216" i="29"/>
  <c r="G210" i="29"/>
  <c r="G209" i="29"/>
  <c r="F209" i="29"/>
  <c r="G208" i="29"/>
  <c r="F208" i="29"/>
  <c r="G207" i="29"/>
  <c r="F207" i="29"/>
  <c r="G202" i="29"/>
  <c r="F202" i="29"/>
  <c r="G199" i="29"/>
  <c r="F199" i="29"/>
  <c r="H197" i="29"/>
  <c r="G197" i="29"/>
  <c r="F197" i="29"/>
  <c r="H196" i="29"/>
  <c r="G196" i="29"/>
  <c r="F196" i="29"/>
  <c r="G195" i="29"/>
  <c r="F195" i="29"/>
  <c r="S187" i="29"/>
  <c r="S278" i="29" s="1"/>
  <c r="S186" i="29"/>
  <c r="V99" i="29" s="1"/>
  <c r="S185" i="29"/>
  <c r="S275" i="29" s="1"/>
  <c r="G186" i="29"/>
  <c r="F186" i="29"/>
  <c r="G185" i="29"/>
  <c r="F185" i="29"/>
  <c r="G183" i="29"/>
  <c r="G182" i="29"/>
  <c r="S179" i="29"/>
  <c r="V96" i="29" s="1"/>
  <c r="V135" i="29" s="1"/>
  <c r="H180" i="29"/>
  <c r="G180" i="29"/>
  <c r="F180" i="29"/>
  <c r="G179" i="29"/>
  <c r="T140" i="29"/>
  <c r="W139" i="29"/>
  <c r="V139" i="29"/>
  <c r="U139" i="29"/>
  <c r="T139" i="29"/>
  <c r="W138" i="29"/>
  <c r="V138" i="29"/>
  <c r="U138" i="29"/>
  <c r="T138" i="29"/>
  <c r="O139" i="29"/>
  <c r="N139" i="29"/>
  <c r="M139" i="29"/>
  <c r="L139" i="29"/>
  <c r="U137" i="29"/>
  <c r="T137" i="29"/>
  <c r="O138" i="29"/>
  <c r="N138" i="29"/>
  <c r="M138" i="29"/>
  <c r="L138" i="29"/>
  <c r="O137" i="29"/>
  <c r="N137" i="29"/>
  <c r="M137" i="29"/>
  <c r="L137" i="29"/>
  <c r="D135" i="29"/>
  <c r="G134" i="29"/>
  <c r="F134" i="29"/>
  <c r="E134" i="29"/>
  <c r="D134" i="29"/>
  <c r="G133" i="29"/>
  <c r="F133" i="29"/>
  <c r="E133" i="29"/>
  <c r="D133" i="29"/>
  <c r="G132" i="29"/>
  <c r="F132" i="29"/>
  <c r="E132" i="29"/>
  <c r="D132" i="29"/>
  <c r="D131" i="29"/>
  <c r="D130" i="29"/>
  <c r="D129" i="29"/>
  <c r="D101" i="29"/>
  <c r="L140" i="29" s="1"/>
  <c r="D100" i="29"/>
  <c r="D99" i="29"/>
  <c r="D96" i="29"/>
  <c r="L135" i="29" s="1"/>
  <c r="D95" i="29"/>
  <c r="L134" i="29" s="1"/>
  <c r="D94" i="29"/>
  <c r="L133" i="29" s="1"/>
  <c r="D93" i="29"/>
  <c r="L132" i="29" s="1"/>
  <c r="D92" i="29"/>
  <c r="L131" i="29" s="1"/>
  <c r="D91" i="29"/>
  <c r="L130" i="29" s="1"/>
  <c r="D90" i="29"/>
  <c r="L129" i="29" s="1"/>
  <c r="S236" i="28"/>
  <c r="H236" i="28"/>
  <c r="G236" i="28"/>
  <c r="F236" i="28"/>
  <c r="S160" i="28"/>
  <c r="H160" i="28"/>
  <c r="G160" i="28"/>
  <c r="F160" i="28"/>
  <c r="G152" i="28"/>
  <c r="G151" i="28"/>
  <c r="G150" i="28"/>
  <c r="G149" i="28"/>
  <c r="G148" i="28"/>
  <c r="G227" i="28"/>
  <c r="G226" i="28"/>
  <c r="G225" i="28"/>
  <c r="G224" i="28"/>
  <c r="G223" i="28"/>
  <c r="E227" i="28"/>
  <c r="E226" i="28"/>
  <c r="E221" i="28"/>
  <c r="E152" i="28"/>
  <c r="E151" i="28"/>
  <c r="E146" i="28"/>
  <c r="E145" i="28"/>
  <c r="E220" i="28"/>
  <c r="G288" i="28"/>
  <c r="F288" i="28"/>
  <c r="H286" i="28"/>
  <c r="G286" i="28"/>
  <c r="F286" i="28"/>
  <c r="H285" i="28"/>
  <c r="G285" i="28"/>
  <c r="F285" i="28"/>
  <c r="G284" i="28"/>
  <c r="F284" i="28"/>
  <c r="H281" i="28"/>
  <c r="G281" i="28"/>
  <c r="F281" i="28"/>
  <c r="G280" i="28"/>
  <c r="F280" i="28"/>
  <c r="H279" i="28"/>
  <c r="G279" i="28"/>
  <c r="F279" i="28"/>
  <c r="G276" i="28"/>
  <c r="F276" i="28"/>
  <c r="H275" i="28"/>
  <c r="G275" i="28"/>
  <c r="F275" i="28"/>
  <c r="G273" i="28"/>
  <c r="F273" i="28"/>
  <c r="G272" i="28"/>
  <c r="F272" i="28"/>
  <c r="G271" i="28"/>
  <c r="F271" i="28"/>
  <c r="G270" i="28"/>
  <c r="F270" i="28"/>
  <c r="G267" i="28"/>
  <c r="F267" i="28"/>
  <c r="G266" i="28"/>
  <c r="F266" i="28"/>
  <c r="S265" i="28"/>
  <c r="G265" i="28"/>
  <c r="F265" i="28"/>
  <c r="S262" i="28"/>
  <c r="G262" i="28"/>
  <c r="F262" i="28"/>
  <c r="H260" i="28"/>
  <c r="G260" i="28"/>
  <c r="F260" i="28"/>
  <c r="H259" i="28"/>
  <c r="G259" i="28"/>
  <c r="F259" i="28"/>
  <c r="G258" i="28"/>
  <c r="F258" i="28"/>
  <c r="H255" i="28"/>
  <c r="G255" i="28"/>
  <c r="F255" i="28"/>
  <c r="G254" i="28"/>
  <c r="F254" i="28"/>
  <c r="G253" i="28"/>
  <c r="F253" i="28"/>
  <c r="G252" i="28"/>
  <c r="F252" i="28"/>
  <c r="S250" i="28"/>
  <c r="W87" i="28" s="1"/>
  <c r="G249" i="28"/>
  <c r="F249" i="28"/>
  <c r="G248" i="28"/>
  <c r="F248" i="28"/>
  <c r="G246" i="28"/>
  <c r="G245" i="28"/>
  <c r="G212" i="28"/>
  <c r="F212" i="28"/>
  <c r="H210" i="28"/>
  <c r="G210" i="28"/>
  <c r="F210" i="28"/>
  <c r="H209" i="28"/>
  <c r="G209" i="28"/>
  <c r="F209" i="28"/>
  <c r="G208" i="28"/>
  <c r="F208" i="28"/>
  <c r="H205" i="28"/>
  <c r="G205" i="28"/>
  <c r="F205" i="28"/>
  <c r="G204" i="28"/>
  <c r="F204" i="28"/>
  <c r="H203" i="28"/>
  <c r="G203" i="28"/>
  <c r="F203" i="28"/>
  <c r="G200" i="28"/>
  <c r="F200" i="28"/>
  <c r="H199" i="28"/>
  <c r="G199" i="28"/>
  <c r="F199" i="28"/>
  <c r="G197" i="28"/>
  <c r="F197" i="28"/>
  <c r="G196" i="28"/>
  <c r="F196" i="28"/>
  <c r="G195" i="28"/>
  <c r="F195" i="28"/>
  <c r="G194" i="28"/>
  <c r="F194" i="28"/>
  <c r="G191" i="28"/>
  <c r="F191" i="28"/>
  <c r="G190" i="28"/>
  <c r="F190" i="28"/>
  <c r="G189" i="28"/>
  <c r="F189" i="28"/>
  <c r="G186" i="28"/>
  <c r="F186" i="28"/>
  <c r="H184" i="28"/>
  <c r="G184" i="28"/>
  <c r="F184" i="28"/>
  <c r="H183" i="28"/>
  <c r="G183" i="28"/>
  <c r="F183" i="28"/>
  <c r="G182" i="28"/>
  <c r="F182" i="28"/>
  <c r="H179" i="28"/>
  <c r="G179" i="28"/>
  <c r="F179" i="28"/>
  <c r="G178" i="28"/>
  <c r="F178" i="28"/>
  <c r="G177" i="28"/>
  <c r="F177" i="28"/>
  <c r="G176" i="28"/>
  <c r="F176" i="28"/>
  <c r="S175" i="28"/>
  <c r="S264" i="28" s="1"/>
  <c r="S174" i="28"/>
  <c r="V87" i="28" s="1"/>
  <c r="S173" i="28"/>
  <c r="S261" i="28" s="1"/>
  <c r="G173" i="28"/>
  <c r="F173" i="28"/>
  <c r="G172" i="28"/>
  <c r="F172" i="28"/>
  <c r="G170" i="28"/>
  <c r="G169" i="28"/>
  <c r="T128" i="28"/>
  <c r="W127" i="28"/>
  <c r="V127" i="28"/>
  <c r="U127" i="28"/>
  <c r="T127" i="28"/>
  <c r="W126" i="28"/>
  <c r="V126" i="28"/>
  <c r="U126" i="28"/>
  <c r="T126" i="28"/>
  <c r="O126" i="28"/>
  <c r="N126" i="28"/>
  <c r="M126" i="28"/>
  <c r="L126" i="28"/>
  <c r="U125" i="28"/>
  <c r="T125" i="28"/>
  <c r="O125" i="28"/>
  <c r="N125" i="28"/>
  <c r="M125" i="28"/>
  <c r="L125" i="28"/>
  <c r="O124" i="28"/>
  <c r="N124" i="28"/>
  <c r="M124" i="28"/>
  <c r="L124" i="28"/>
  <c r="D123" i="28"/>
  <c r="G122" i="28"/>
  <c r="F122" i="28"/>
  <c r="E122" i="28"/>
  <c r="D122" i="28"/>
  <c r="G121" i="28"/>
  <c r="F121" i="28"/>
  <c r="E121" i="28"/>
  <c r="D121" i="28"/>
  <c r="G120" i="28"/>
  <c r="F120" i="28"/>
  <c r="E120" i="28"/>
  <c r="D120" i="28"/>
  <c r="D119" i="28"/>
  <c r="D118" i="28"/>
  <c r="D117" i="28"/>
  <c r="L97" i="28"/>
  <c r="L127" i="28" s="1"/>
  <c r="L96" i="28"/>
  <c r="L95" i="28"/>
  <c r="L93" i="28"/>
  <c r="L123" i="28" s="1"/>
  <c r="L92" i="28"/>
  <c r="L122" i="28" s="1"/>
  <c r="L91" i="28"/>
  <c r="L121" i="28" s="1"/>
  <c r="L90" i="28"/>
  <c r="L120" i="28" s="1"/>
  <c r="L89" i="28"/>
  <c r="L119" i="28" s="1"/>
  <c r="L88" i="28"/>
  <c r="L118" i="28" s="1"/>
  <c r="L87" i="28"/>
  <c r="L117" i="28" s="1"/>
  <c r="E211" i="27"/>
  <c r="E140" i="27"/>
  <c r="S221" i="27"/>
  <c r="H221" i="27"/>
  <c r="G221" i="27"/>
  <c r="F221" i="27"/>
  <c r="S150" i="27"/>
  <c r="H150" i="27"/>
  <c r="G150" i="27"/>
  <c r="F150" i="27"/>
  <c r="G273" i="27"/>
  <c r="F273" i="27"/>
  <c r="H271" i="27"/>
  <c r="G271" i="27"/>
  <c r="F271" i="27"/>
  <c r="H270" i="27"/>
  <c r="G270" i="27"/>
  <c r="F270" i="27"/>
  <c r="G269" i="27"/>
  <c r="F269" i="27"/>
  <c r="H266" i="27"/>
  <c r="G266" i="27"/>
  <c r="F266" i="27"/>
  <c r="G265" i="27"/>
  <c r="F265" i="27"/>
  <c r="H264" i="27"/>
  <c r="G264" i="27"/>
  <c r="F264" i="27"/>
  <c r="G261" i="27"/>
  <c r="F261" i="27"/>
  <c r="H260" i="27"/>
  <c r="G260" i="27"/>
  <c r="F260" i="27"/>
  <c r="G258" i="27"/>
  <c r="F258" i="27"/>
  <c r="G257" i="27"/>
  <c r="F257" i="27"/>
  <c r="G256" i="27"/>
  <c r="F256" i="27"/>
  <c r="G255" i="27"/>
  <c r="F255" i="27"/>
  <c r="G252" i="27"/>
  <c r="F252" i="27"/>
  <c r="G251" i="27"/>
  <c r="F251" i="27"/>
  <c r="S250" i="27"/>
  <c r="G250" i="27"/>
  <c r="F250" i="27"/>
  <c r="S247" i="27"/>
  <c r="G247" i="27"/>
  <c r="F247" i="27"/>
  <c r="H245" i="27"/>
  <c r="G245" i="27"/>
  <c r="F245" i="27"/>
  <c r="H244" i="27"/>
  <c r="G244" i="27"/>
  <c r="F244" i="27"/>
  <c r="G243" i="27"/>
  <c r="F243" i="27"/>
  <c r="H240" i="27"/>
  <c r="G240" i="27"/>
  <c r="F240" i="27"/>
  <c r="G239" i="27"/>
  <c r="F239" i="27"/>
  <c r="G238" i="27"/>
  <c r="F238" i="27"/>
  <c r="G237" i="27"/>
  <c r="F237" i="27"/>
  <c r="S235" i="27"/>
  <c r="W81" i="27" s="1"/>
  <c r="G234" i="27"/>
  <c r="F234" i="27"/>
  <c r="G233" i="27"/>
  <c r="F233" i="27"/>
  <c r="G231" i="27"/>
  <c r="G230" i="27"/>
  <c r="S228" i="27"/>
  <c r="W78" i="27" s="1"/>
  <c r="W117" i="27" s="1"/>
  <c r="H228" i="27"/>
  <c r="G228" i="27"/>
  <c r="F228" i="27"/>
  <c r="G227" i="27"/>
  <c r="G202" i="27"/>
  <c r="F202" i="27"/>
  <c r="H200" i="27"/>
  <c r="G200" i="27"/>
  <c r="F200" i="27"/>
  <c r="H199" i="27"/>
  <c r="G199" i="27"/>
  <c r="F199" i="27"/>
  <c r="G198" i="27"/>
  <c r="F198" i="27"/>
  <c r="H195" i="27"/>
  <c r="G195" i="27"/>
  <c r="F195" i="27"/>
  <c r="G194" i="27"/>
  <c r="F194" i="27"/>
  <c r="H193" i="27"/>
  <c r="G193" i="27"/>
  <c r="F193" i="27"/>
  <c r="G190" i="27"/>
  <c r="F190" i="27"/>
  <c r="H189" i="27"/>
  <c r="G189" i="27"/>
  <c r="F189" i="27"/>
  <c r="G187" i="27"/>
  <c r="F187" i="27"/>
  <c r="G186" i="27"/>
  <c r="F186" i="27"/>
  <c r="G185" i="27"/>
  <c r="F185" i="27"/>
  <c r="G184" i="27"/>
  <c r="F184" i="27"/>
  <c r="G181" i="27"/>
  <c r="F181" i="27"/>
  <c r="G180" i="27"/>
  <c r="F180" i="27"/>
  <c r="G179" i="27"/>
  <c r="F179" i="27"/>
  <c r="G176" i="27"/>
  <c r="F176" i="27"/>
  <c r="H174" i="27"/>
  <c r="G174" i="27"/>
  <c r="F174" i="27"/>
  <c r="H173" i="27"/>
  <c r="G173" i="27"/>
  <c r="F173" i="27"/>
  <c r="G172" i="27"/>
  <c r="F172" i="27"/>
  <c r="H169" i="27"/>
  <c r="G169" i="27"/>
  <c r="F169" i="27"/>
  <c r="G168" i="27"/>
  <c r="F168" i="27"/>
  <c r="G167" i="27"/>
  <c r="F167" i="27"/>
  <c r="G166" i="27"/>
  <c r="F166" i="27"/>
  <c r="S165" i="27"/>
  <c r="S249" i="27" s="1"/>
  <c r="S164" i="27"/>
  <c r="V81" i="27" s="1"/>
  <c r="S163" i="27"/>
  <c r="S246" i="27" s="1"/>
  <c r="G163" i="27"/>
  <c r="F163" i="27"/>
  <c r="G162" i="27"/>
  <c r="F162" i="27"/>
  <c r="G160" i="27"/>
  <c r="G159" i="27"/>
  <c r="S157" i="27"/>
  <c r="V78" i="27" s="1"/>
  <c r="V117" i="27" s="1"/>
  <c r="H157" i="27"/>
  <c r="G157" i="27"/>
  <c r="F157" i="27"/>
  <c r="G156" i="27"/>
  <c r="T122" i="27"/>
  <c r="W121" i="27"/>
  <c r="V121" i="27"/>
  <c r="U121" i="27"/>
  <c r="T121" i="27"/>
  <c r="W120" i="27"/>
  <c r="V120" i="27"/>
  <c r="U120" i="27"/>
  <c r="T120" i="27"/>
  <c r="O120" i="27"/>
  <c r="N120" i="27"/>
  <c r="M120" i="27"/>
  <c r="L120" i="27"/>
  <c r="U119" i="27"/>
  <c r="T119" i="27"/>
  <c r="O119" i="27"/>
  <c r="N119" i="27"/>
  <c r="M119" i="27"/>
  <c r="L119" i="27"/>
  <c r="O118" i="27"/>
  <c r="N118" i="27"/>
  <c r="M118" i="27"/>
  <c r="L118" i="27"/>
  <c r="D117" i="27"/>
  <c r="G116" i="27"/>
  <c r="F116" i="27"/>
  <c r="E116" i="27"/>
  <c r="D116" i="27"/>
  <c r="G115" i="27"/>
  <c r="F115" i="27"/>
  <c r="E115" i="27"/>
  <c r="D115" i="27"/>
  <c r="G114" i="27"/>
  <c r="F114" i="27"/>
  <c r="E114" i="27"/>
  <c r="D114" i="27"/>
  <c r="D113" i="27"/>
  <c r="D112" i="27"/>
  <c r="D111" i="27"/>
  <c r="L91" i="27"/>
  <c r="L121" i="27" s="1"/>
  <c r="L90" i="27"/>
  <c r="L89" i="27"/>
  <c r="L87" i="27"/>
  <c r="L117" i="27" s="1"/>
  <c r="L86" i="27"/>
  <c r="L116" i="27" s="1"/>
  <c r="L85" i="27"/>
  <c r="L115" i="27" s="1"/>
  <c r="L84" i="27"/>
  <c r="L114" i="27" s="1"/>
  <c r="L83" i="27"/>
  <c r="L113" i="27" s="1"/>
  <c r="L82" i="27"/>
  <c r="L112" i="27" s="1"/>
  <c r="L81" i="27"/>
  <c r="L111" i="27" s="1"/>
  <c r="S218" i="25"/>
  <c r="H218" i="25"/>
  <c r="G218" i="25"/>
  <c r="F218" i="25"/>
  <c r="S145" i="25"/>
  <c r="H145" i="25"/>
  <c r="G145" i="25"/>
  <c r="F145" i="25"/>
  <c r="E205" i="25"/>
  <c r="F205" i="25" s="1"/>
  <c r="E133" i="25"/>
  <c r="F133" i="25" s="1"/>
  <c r="G270" i="25"/>
  <c r="F270" i="25"/>
  <c r="H268" i="25"/>
  <c r="G268" i="25"/>
  <c r="F268" i="25"/>
  <c r="H267" i="25"/>
  <c r="G267" i="25"/>
  <c r="F267" i="25"/>
  <c r="G266" i="25"/>
  <c r="F266" i="25"/>
  <c r="H263" i="25"/>
  <c r="G263" i="25"/>
  <c r="F263" i="25"/>
  <c r="G262" i="25"/>
  <c r="F262" i="25"/>
  <c r="H261" i="25"/>
  <c r="G261" i="25"/>
  <c r="F261" i="25"/>
  <c r="G258" i="25"/>
  <c r="F258" i="25"/>
  <c r="H257" i="25"/>
  <c r="G257" i="25"/>
  <c r="F257" i="25"/>
  <c r="G255" i="25"/>
  <c r="F255" i="25"/>
  <c r="G254" i="25"/>
  <c r="F254" i="25"/>
  <c r="G253" i="25"/>
  <c r="F253" i="25"/>
  <c r="G252" i="25"/>
  <c r="F252" i="25"/>
  <c r="G249" i="25"/>
  <c r="F249" i="25"/>
  <c r="G248" i="25"/>
  <c r="F248" i="25"/>
  <c r="G247" i="25"/>
  <c r="F247" i="25"/>
  <c r="G244" i="25"/>
  <c r="F244" i="25"/>
  <c r="H242" i="25"/>
  <c r="G242" i="25"/>
  <c r="F242" i="25"/>
  <c r="H241" i="25"/>
  <c r="G241" i="25"/>
  <c r="F241" i="25"/>
  <c r="G240" i="25"/>
  <c r="F240" i="25"/>
  <c r="H237" i="25"/>
  <c r="G237" i="25"/>
  <c r="F237" i="25"/>
  <c r="G236" i="25"/>
  <c r="F236" i="25"/>
  <c r="G235" i="25"/>
  <c r="F235" i="25"/>
  <c r="G234" i="25"/>
  <c r="F234" i="25"/>
  <c r="G231" i="25"/>
  <c r="F231" i="25"/>
  <c r="G230" i="25"/>
  <c r="F230" i="25"/>
  <c r="G228" i="25"/>
  <c r="G227" i="25"/>
  <c r="S225" i="25"/>
  <c r="W72" i="25" s="1"/>
  <c r="W111" i="25" s="1"/>
  <c r="H225" i="25"/>
  <c r="G225" i="25"/>
  <c r="F225" i="25"/>
  <c r="G224" i="25"/>
  <c r="G197" i="25"/>
  <c r="F197" i="25"/>
  <c r="H195" i="25"/>
  <c r="G195" i="25"/>
  <c r="F195" i="25"/>
  <c r="H194" i="25"/>
  <c r="G194" i="25"/>
  <c r="F194" i="25"/>
  <c r="G193" i="25"/>
  <c r="F193" i="25"/>
  <c r="H190" i="25"/>
  <c r="G190" i="25"/>
  <c r="F190" i="25"/>
  <c r="G189" i="25"/>
  <c r="F189" i="25"/>
  <c r="H188" i="25"/>
  <c r="G188" i="25"/>
  <c r="F188" i="25"/>
  <c r="G185" i="25"/>
  <c r="F185" i="25"/>
  <c r="H184" i="25"/>
  <c r="G184" i="25"/>
  <c r="F184" i="25"/>
  <c r="G182" i="25"/>
  <c r="F182" i="25"/>
  <c r="G181" i="25"/>
  <c r="F181" i="25"/>
  <c r="G180" i="25"/>
  <c r="F180" i="25"/>
  <c r="G179" i="25"/>
  <c r="F179" i="25"/>
  <c r="G176" i="25"/>
  <c r="F176" i="25"/>
  <c r="G175" i="25"/>
  <c r="F175" i="25"/>
  <c r="G174" i="25"/>
  <c r="F174" i="25"/>
  <c r="G171" i="25"/>
  <c r="F171" i="25"/>
  <c r="H169" i="25"/>
  <c r="G169" i="25"/>
  <c r="F169" i="25"/>
  <c r="H168" i="25"/>
  <c r="G168" i="25"/>
  <c r="F168" i="25"/>
  <c r="G167" i="25"/>
  <c r="F167" i="25"/>
  <c r="H164" i="25"/>
  <c r="G164" i="25"/>
  <c r="F164" i="25"/>
  <c r="G163" i="25"/>
  <c r="F163" i="25"/>
  <c r="G162" i="25"/>
  <c r="F162" i="25"/>
  <c r="G161" i="25"/>
  <c r="F161" i="25"/>
  <c r="W76" i="25"/>
  <c r="V75" i="25"/>
  <c r="G158" i="25"/>
  <c r="F158" i="25"/>
  <c r="G157" i="25"/>
  <c r="F157" i="25"/>
  <c r="G155" i="25"/>
  <c r="G154" i="25"/>
  <c r="S152" i="25"/>
  <c r="V72" i="25" s="1"/>
  <c r="V111" i="25" s="1"/>
  <c r="H152" i="25"/>
  <c r="G152" i="25"/>
  <c r="F152" i="25"/>
  <c r="G151" i="25"/>
  <c r="T116" i="25"/>
  <c r="W115" i="25"/>
  <c r="V115" i="25"/>
  <c r="U115" i="25"/>
  <c r="T115" i="25"/>
  <c r="W114" i="25"/>
  <c r="V114" i="25"/>
  <c r="U114" i="25"/>
  <c r="T114" i="25"/>
  <c r="O114" i="25"/>
  <c r="N114" i="25"/>
  <c r="M114" i="25"/>
  <c r="L114" i="25"/>
  <c r="U113" i="25"/>
  <c r="T113" i="25"/>
  <c r="O113" i="25"/>
  <c r="N113" i="25"/>
  <c r="M113" i="25"/>
  <c r="L113" i="25"/>
  <c r="O112" i="25"/>
  <c r="N112" i="25"/>
  <c r="M112" i="25"/>
  <c r="L112" i="25"/>
  <c r="D111" i="25"/>
  <c r="G110" i="25"/>
  <c r="F110" i="25"/>
  <c r="E110" i="25"/>
  <c r="D110" i="25"/>
  <c r="G109" i="25"/>
  <c r="F109" i="25"/>
  <c r="E109" i="25"/>
  <c r="D109" i="25"/>
  <c r="D108" i="25"/>
  <c r="D107" i="25"/>
  <c r="D106" i="25"/>
  <c r="D105" i="25"/>
  <c r="L85" i="25"/>
  <c r="L115" i="25" s="1"/>
  <c r="L84" i="25"/>
  <c r="L83" i="25"/>
  <c r="L81" i="25"/>
  <c r="L111" i="25" s="1"/>
  <c r="L80" i="25"/>
  <c r="L110" i="25" s="1"/>
  <c r="L79" i="25"/>
  <c r="L109" i="25" s="1"/>
  <c r="L78" i="25"/>
  <c r="L108" i="25" s="1"/>
  <c r="L77" i="25"/>
  <c r="L107" i="25" s="1"/>
  <c r="L76" i="25"/>
  <c r="L106" i="25" s="1"/>
  <c r="W75" i="25"/>
  <c r="L75" i="25"/>
  <c r="L105" i="25" s="1"/>
  <c r="E217" i="24"/>
  <c r="S253" i="24" s="1"/>
  <c r="E148" i="24"/>
  <c r="S170" i="24" s="1"/>
  <c r="S252" i="24" s="1"/>
  <c r="G278" i="24"/>
  <c r="F278" i="24"/>
  <c r="H276" i="24"/>
  <c r="G276" i="24"/>
  <c r="F276" i="24"/>
  <c r="H275" i="24"/>
  <c r="G275" i="24"/>
  <c r="F275" i="24"/>
  <c r="G274" i="24"/>
  <c r="F274" i="24"/>
  <c r="H271" i="24"/>
  <c r="G271" i="24"/>
  <c r="F271" i="24"/>
  <c r="G270" i="24"/>
  <c r="F270" i="24"/>
  <c r="H269" i="24"/>
  <c r="G269" i="24"/>
  <c r="F269" i="24"/>
  <c r="G266" i="24"/>
  <c r="F266" i="24"/>
  <c r="H265" i="24"/>
  <c r="G265" i="24"/>
  <c r="F265" i="24"/>
  <c r="G263" i="24"/>
  <c r="F263" i="24"/>
  <c r="G262" i="24"/>
  <c r="F262" i="24"/>
  <c r="G261" i="24"/>
  <c r="F261" i="24"/>
  <c r="G260" i="24"/>
  <c r="F260" i="24"/>
  <c r="G257" i="24"/>
  <c r="F257" i="24"/>
  <c r="S256" i="24"/>
  <c r="G256" i="24"/>
  <c r="F256" i="24"/>
  <c r="G255" i="24"/>
  <c r="F255" i="24"/>
  <c r="G252" i="24"/>
  <c r="F252" i="24"/>
  <c r="H250" i="24"/>
  <c r="G250" i="24"/>
  <c r="F250" i="24"/>
  <c r="H249" i="24"/>
  <c r="G249" i="24"/>
  <c r="F249" i="24"/>
  <c r="G248" i="24"/>
  <c r="F248" i="24"/>
  <c r="H245" i="24"/>
  <c r="G245" i="24"/>
  <c r="F245" i="24"/>
  <c r="G244" i="24"/>
  <c r="F244" i="24"/>
  <c r="G243" i="24"/>
  <c r="F243" i="24"/>
  <c r="G242" i="24"/>
  <c r="F242" i="24"/>
  <c r="S240" i="24"/>
  <c r="W90" i="24" s="1"/>
  <c r="G239" i="24"/>
  <c r="F239" i="24"/>
  <c r="G238" i="24"/>
  <c r="F238" i="24"/>
  <c r="G236" i="24"/>
  <c r="S233" i="24"/>
  <c r="W87" i="24" s="1"/>
  <c r="W126" i="24" s="1"/>
  <c r="H233" i="24"/>
  <c r="G233" i="24"/>
  <c r="F233" i="24"/>
  <c r="G232" i="24"/>
  <c r="S226" i="24"/>
  <c r="W86" i="24" s="1"/>
  <c r="W125" i="24" s="1"/>
  <c r="H226" i="24"/>
  <c r="G226" i="24"/>
  <c r="F226" i="24"/>
  <c r="G209" i="24"/>
  <c r="F209" i="24"/>
  <c r="H207" i="24"/>
  <c r="G207" i="24"/>
  <c r="F207" i="24"/>
  <c r="H206" i="24"/>
  <c r="G206" i="24"/>
  <c r="F206" i="24"/>
  <c r="G205" i="24"/>
  <c r="F205" i="24"/>
  <c r="H202" i="24"/>
  <c r="G202" i="24"/>
  <c r="F202" i="24"/>
  <c r="G201" i="24"/>
  <c r="F201" i="24"/>
  <c r="H200" i="24"/>
  <c r="G200" i="24"/>
  <c r="F200" i="24"/>
  <c r="G197" i="24"/>
  <c r="F197" i="24"/>
  <c r="H196" i="24"/>
  <c r="G196" i="24"/>
  <c r="F196" i="24"/>
  <c r="G194" i="24"/>
  <c r="F194" i="24"/>
  <c r="G193" i="24"/>
  <c r="F193" i="24"/>
  <c r="G192" i="24"/>
  <c r="F192" i="24"/>
  <c r="G191" i="24"/>
  <c r="F191" i="24"/>
  <c r="G188" i="24"/>
  <c r="F188" i="24"/>
  <c r="G187" i="24"/>
  <c r="F187" i="24"/>
  <c r="G186" i="24"/>
  <c r="F186" i="24"/>
  <c r="G183" i="24"/>
  <c r="F183" i="24"/>
  <c r="H181" i="24"/>
  <c r="G181" i="24"/>
  <c r="F181" i="24"/>
  <c r="H180" i="24"/>
  <c r="G180" i="24"/>
  <c r="F180" i="24"/>
  <c r="G179" i="24"/>
  <c r="F179" i="24"/>
  <c r="H176" i="24"/>
  <c r="G176" i="24"/>
  <c r="F176" i="24"/>
  <c r="G175" i="24"/>
  <c r="F175" i="24"/>
  <c r="G174" i="24"/>
  <c r="F174" i="24"/>
  <c r="G173" i="24"/>
  <c r="F173" i="24"/>
  <c r="S172" i="24"/>
  <c r="S255" i="24" s="1"/>
  <c r="S241" i="24" s="1"/>
  <c r="W91" i="24" s="1"/>
  <c r="S171" i="24"/>
  <c r="V90" i="24" s="1"/>
  <c r="G170" i="24"/>
  <c r="F170" i="24"/>
  <c r="G169" i="24"/>
  <c r="F169" i="24"/>
  <c r="G167" i="24"/>
  <c r="S164" i="24"/>
  <c r="V87" i="24" s="1"/>
  <c r="V126" i="24" s="1"/>
  <c r="H164" i="24"/>
  <c r="G164" i="24"/>
  <c r="F164" i="24"/>
  <c r="G163" i="24"/>
  <c r="S157" i="24"/>
  <c r="V86" i="24" s="1"/>
  <c r="V125" i="24" s="1"/>
  <c r="H157" i="24"/>
  <c r="G157" i="24"/>
  <c r="F157" i="24"/>
  <c r="T131" i="24"/>
  <c r="W130" i="24"/>
  <c r="V130" i="24"/>
  <c r="U130" i="24"/>
  <c r="T130" i="24"/>
  <c r="W129" i="24"/>
  <c r="V129" i="24"/>
  <c r="U129" i="24"/>
  <c r="T129" i="24"/>
  <c r="O129" i="24"/>
  <c r="N129" i="24"/>
  <c r="M129" i="24"/>
  <c r="L129" i="24"/>
  <c r="U128" i="24"/>
  <c r="T128" i="24"/>
  <c r="O128" i="24"/>
  <c r="N128" i="24"/>
  <c r="M128" i="24"/>
  <c r="L128" i="24"/>
  <c r="O127" i="24"/>
  <c r="N127" i="24"/>
  <c r="M127" i="24"/>
  <c r="L127" i="24"/>
  <c r="D126" i="24"/>
  <c r="G125" i="24"/>
  <c r="F125" i="24"/>
  <c r="E125" i="24"/>
  <c r="D125" i="24"/>
  <c r="G124" i="24"/>
  <c r="F124" i="24"/>
  <c r="E124" i="24"/>
  <c r="D124" i="24"/>
  <c r="G123" i="24"/>
  <c r="F123" i="24"/>
  <c r="E123" i="24"/>
  <c r="D123" i="24"/>
  <c r="D122" i="24"/>
  <c r="D121" i="24"/>
  <c r="D120" i="24"/>
  <c r="L100" i="24"/>
  <c r="L130" i="24" s="1"/>
  <c r="L99" i="24"/>
  <c r="L98" i="24"/>
  <c r="L96" i="24"/>
  <c r="L126" i="24" s="1"/>
  <c r="L95" i="24"/>
  <c r="L125" i="24" s="1"/>
  <c r="L94" i="24"/>
  <c r="L124" i="24" s="1"/>
  <c r="L93" i="24"/>
  <c r="L123" i="24" s="1"/>
  <c r="L92" i="24"/>
  <c r="L122" i="24" s="1"/>
  <c r="V91" i="24"/>
  <c r="L91" i="24"/>
  <c r="L121" i="24" s="1"/>
  <c r="L90" i="24"/>
  <c r="L120" i="24" s="1"/>
  <c r="E17" i="24"/>
  <c r="I25" i="24" s="1"/>
  <c r="E217" i="23"/>
  <c r="S252" i="23" s="1"/>
  <c r="E17" i="23"/>
  <c r="E18" i="23" s="1"/>
  <c r="E148" i="23"/>
  <c r="S170" i="23" s="1"/>
  <c r="S239" i="23"/>
  <c r="S255" i="23"/>
  <c r="S245" i="4"/>
  <c r="S242" i="4"/>
  <c r="S163" i="4"/>
  <c r="S244" i="4" s="1"/>
  <c r="S162" i="4"/>
  <c r="S161" i="4"/>
  <c r="S241" i="4" s="1"/>
  <c r="F226" i="28" l="1"/>
  <c r="G242" i="28" s="1"/>
  <c r="G96" i="31"/>
  <c r="O135" i="31" s="1"/>
  <c r="K289" i="31"/>
  <c r="F96" i="31"/>
  <c r="N135" i="31" s="1"/>
  <c r="K210" i="31"/>
  <c r="F237" i="24"/>
  <c r="J200" i="24"/>
  <c r="G254" i="24"/>
  <c r="J261" i="24"/>
  <c r="K276" i="24"/>
  <c r="J274" i="24"/>
  <c r="G178" i="24"/>
  <c r="F259" i="24"/>
  <c r="E25" i="23"/>
  <c r="F227" i="28"/>
  <c r="F243" i="28" s="1"/>
  <c r="F185" i="24"/>
  <c r="K202" i="24"/>
  <c r="K269" i="24"/>
  <c r="F168" i="24"/>
  <c r="J201" i="24"/>
  <c r="J291" i="29"/>
  <c r="J212" i="29"/>
  <c r="K291" i="29"/>
  <c r="K212" i="29"/>
  <c r="J196" i="29"/>
  <c r="S263" i="29"/>
  <c r="W98" i="29" s="1"/>
  <c r="W137" i="29" s="1"/>
  <c r="J227" i="29"/>
  <c r="J275" i="29"/>
  <c r="F263" i="29"/>
  <c r="J276" i="29"/>
  <c r="J296" i="29"/>
  <c r="J306" i="29"/>
  <c r="J207" i="29"/>
  <c r="J282" i="29"/>
  <c r="G194" i="29"/>
  <c r="J208" i="29"/>
  <c r="K301" i="29"/>
  <c r="G201" i="29"/>
  <c r="V100" i="29"/>
  <c r="F201" i="29"/>
  <c r="J202" i="29"/>
  <c r="J274" i="29"/>
  <c r="J222" i="29"/>
  <c r="K259" i="29"/>
  <c r="J190" i="29"/>
  <c r="J270" i="29"/>
  <c r="K299" i="29"/>
  <c r="K216" i="29"/>
  <c r="J221" i="29"/>
  <c r="G263" i="29"/>
  <c r="G310" i="29" s="1"/>
  <c r="J300" i="29"/>
  <c r="S265" i="29"/>
  <c r="W100" i="29" s="1"/>
  <c r="K226" i="29"/>
  <c r="G298" i="29"/>
  <c r="G184" i="29"/>
  <c r="J216" i="29"/>
  <c r="K197" i="29"/>
  <c r="J226" i="29"/>
  <c r="J264" i="29"/>
  <c r="J195" i="29"/>
  <c r="K276" i="29"/>
  <c r="G280" i="29"/>
  <c r="G303" i="29"/>
  <c r="J185" i="29"/>
  <c r="J191" i="29"/>
  <c r="J203" i="29"/>
  <c r="J220" i="29"/>
  <c r="G273" i="29"/>
  <c r="J305" i="29"/>
  <c r="J197" i="29"/>
  <c r="G219" i="29"/>
  <c r="G267" i="29"/>
  <c r="J286" i="29"/>
  <c r="J301" i="29"/>
  <c r="F184" i="29"/>
  <c r="K192" i="29"/>
  <c r="K222" i="29"/>
  <c r="J289" i="29"/>
  <c r="K180" i="29"/>
  <c r="K271" i="29"/>
  <c r="J278" i="29"/>
  <c r="F285" i="29"/>
  <c r="J304" i="29"/>
  <c r="K306" i="29"/>
  <c r="G285" i="29"/>
  <c r="G206" i="29"/>
  <c r="K220" i="29"/>
  <c r="J269" i="29"/>
  <c r="J287" i="29"/>
  <c r="J295" i="29"/>
  <c r="G188" i="29"/>
  <c r="K227" i="29"/>
  <c r="J217" i="29"/>
  <c r="G224" i="29"/>
  <c r="V98" i="29"/>
  <c r="V137" i="29" s="1"/>
  <c r="K196" i="29"/>
  <c r="K275" i="29"/>
  <c r="K295" i="29"/>
  <c r="K305" i="29"/>
  <c r="V95" i="29"/>
  <c r="V134" i="29" s="1"/>
  <c r="J186" i="29"/>
  <c r="J199" i="29"/>
  <c r="J209" i="29"/>
  <c r="W95" i="29"/>
  <c r="W134" i="29" s="1"/>
  <c r="J265" i="29"/>
  <c r="J283" i="29"/>
  <c r="J308" i="29"/>
  <c r="F194" i="29"/>
  <c r="F219" i="29"/>
  <c r="F273" i="29"/>
  <c r="F303" i="29"/>
  <c r="J180" i="29"/>
  <c r="N104" i="29" s="1"/>
  <c r="F188" i="29"/>
  <c r="J204" i="29"/>
  <c r="J229" i="29"/>
  <c r="J259" i="29"/>
  <c r="O104" i="29" s="1"/>
  <c r="F267" i="29"/>
  <c r="F280" i="29"/>
  <c r="J288" i="29"/>
  <c r="J189" i="29"/>
  <c r="J192" i="29"/>
  <c r="J210" i="29"/>
  <c r="F224" i="29"/>
  <c r="J225" i="29"/>
  <c r="J268" i="29"/>
  <c r="J271" i="29"/>
  <c r="J281" i="29"/>
  <c r="F298" i="29"/>
  <c r="J299" i="29"/>
  <c r="F206" i="29"/>
  <c r="F152" i="28"/>
  <c r="F151" i="28"/>
  <c r="F257" i="28"/>
  <c r="F188" i="28"/>
  <c r="J173" i="28"/>
  <c r="J254" i="28"/>
  <c r="J260" i="28"/>
  <c r="K210" i="28"/>
  <c r="J288" i="28"/>
  <c r="V86" i="28"/>
  <c r="V125" i="28" s="1"/>
  <c r="V88" i="28"/>
  <c r="F171" i="28"/>
  <c r="F269" i="28"/>
  <c r="K281" i="28"/>
  <c r="K179" i="28"/>
  <c r="K286" i="28"/>
  <c r="J184" i="28"/>
  <c r="G283" i="28"/>
  <c r="G181" i="28"/>
  <c r="G202" i="28"/>
  <c r="J199" i="28"/>
  <c r="J248" i="28"/>
  <c r="G251" i="28"/>
  <c r="K205" i="28"/>
  <c r="G257" i="28"/>
  <c r="S251" i="28"/>
  <c r="W88" i="28" s="1"/>
  <c r="J266" i="28"/>
  <c r="J270" i="28"/>
  <c r="K279" i="28"/>
  <c r="J183" i="28"/>
  <c r="K203" i="28"/>
  <c r="J271" i="28"/>
  <c r="K199" i="28"/>
  <c r="J210" i="28"/>
  <c r="K255" i="28"/>
  <c r="J196" i="28"/>
  <c r="J204" i="28"/>
  <c r="J253" i="28"/>
  <c r="J280" i="28"/>
  <c r="J189" i="28"/>
  <c r="J194" i="28"/>
  <c r="K209" i="28"/>
  <c r="J285" i="28"/>
  <c r="K260" i="28"/>
  <c r="J186" i="28"/>
  <c r="G264" i="28"/>
  <c r="J276" i="28"/>
  <c r="J286" i="28"/>
  <c r="S249" i="28"/>
  <c r="W86" i="28" s="1"/>
  <c r="W125" i="28" s="1"/>
  <c r="J209" i="28"/>
  <c r="J258" i="28"/>
  <c r="J267" i="28"/>
  <c r="J177" i="28"/>
  <c r="K184" i="28"/>
  <c r="J203" i="28"/>
  <c r="J205" i="28"/>
  <c r="F247" i="28"/>
  <c r="J249" i="28"/>
  <c r="J273" i="28"/>
  <c r="J284" i="28"/>
  <c r="J259" i="28"/>
  <c r="G278" i="28"/>
  <c r="J182" i="28"/>
  <c r="G188" i="28"/>
  <c r="J195" i="28"/>
  <c r="J200" i="28"/>
  <c r="G207" i="28"/>
  <c r="G247" i="28"/>
  <c r="J262" i="28"/>
  <c r="J275" i="28"/>
  <c r="J281" i="28"/>
  <c r="G193" i="28"/>
  <c r="G175" i="28"/>
  <c r="G269" i="28"/>
  <c r="J178" i="28"/>
  <c r="K183" i="28"/>
  <c r="J190" i="28"/>
  <c r="K259" i="28"/>
  <c r="K275" i="28"/>
  <c r="K285" i="28"/>
  <c r="V83" i="28"/>
  <c r="V122" i="28" s="1"/>
  <c r="W83" i="28"/>
  <c r="W122" i="28" s="1"/>
  <c r="F181" i="28"/>
  <c r="F202" i="28"/>
  <c r="F283" i="28"/>
  <c r="J172" i="28"/>
  <c r="G171" i="28"/>
  <c r="F175" i="28"/>
  <c r="J191" i="28"/>
  <c r="J212" i="28"/>
  <c r="F251" i="28"/>
  <c r="F264" i="28"/>
  <c r="J272" i="28"/>
  <c r="J176" i="28"/>
  <c r="J179" i="28"/>
  <c r="J197" i="28"/>
  <c r="F207" i="28"/>
  <c r="J208" i="28"/>
  <c r="J252" i="28"/>
  <c r="J255" i="28"/>
  <c r="J265" i="28"/>
  <c r="F278" i="28"/>
  <c r="J279" i="28"/>
  <c r="F193" i="28"/>
  <c r="S236" i="27"/>
  <c r="W82" i="27" s="1"/>
  <c r="K245" i="27"/>
  <c r="J173" i="27"/>
  <c r="J258" i="27"/>
  <c r="K193" i="27"/>
  <c r="J228" i="27"/>
  <c r="G77" i="27" s="1"/>
  <c r="G232" i="27"/>
  <c r="K264" i="27"/>
  <c r="K244" i="27"/>
  <c r="G165" i="27"/>
  <c r="K195" i="27"/>
  <c r="G263" i="27"/>
  <c r="K189" i="27"/>
  <c r="J243" i="27"/>
  <c r="K270" i="27"/>
  <c r="K266" i="27"/>
  <c r="J181" i="27"/>
  <c r="J247" i="27"/>
  <c r="V82" i="27"/>
  <c r="F161" i="27"/>
  <c r="K173" i="27"/>
  <c r="G197" i="27"/>
  <c r="K260" i="27"/>
  <c r="K157" i="27"/>
  <c r="G183" i="27"/>
  <c r="V80" i="27"/>
  <c r="V119" i="27" s="1"/>
  <c r="K174" i="27"/>
  <c r="K200" i="27"/>
  <c r="G236" i="27"/>
  <c r="J244" i="27"/>
  <c r="J257" i="27"/>
  <c r="J270" i="27"/>
  <c r="J260" i="27"/>
  <c r="J266" i="27"/>
  <c r="G254" i="27"/>
  <c r="K271" i="27"/>
  <c r="G161" i="27"/>
  <c r="J168" i="27"/>
  <c r="J180" i="27"/>
  <c r="J184" i="27"/>
  <c r="J194" i="27"/>
  <c r="J200" i="27"/>
  <c r="G268" i="27"/>
  <c r="K169" i="27"/>
  <c r="J190" i="27"/>
  <c r="J239" i="27"/>
  <c r="S234" i="27"/>
  <c r="W80" i="27" s="1"/>
  <c r="W119" i="27" s="1"/>
  <c r="J185" i="27"/>
  <c r="J193" i="27"/>
  <c r="J195" i="27"/>
  <c r="K199" i="27"/>
  <c r="K240" i="27"/>
  <c r="J162" i="27"/>
  <c r="J172" i="27"/>
  <c r="J174" i="27"/>
  <c r="K228" i="27"/>
  <c r="G249" i="27"/>
  <c r="J256" i="27"/>
  <c r="V77" i="27"/>
  <c r="V116" i="27" s="1"/>
  <c r="J163" i="27"/>
  <c r="J176" i="27"/>
  <c r="J186" i="27"/>
  <c r="W77" i="27"/>
  <c r="W116" i="27" s="1"/>
  <c r="J234" i="27"/>
  <c r="J252" i="27"/>
  <c r="J273" i="27"/>
  <c r="F171" i="27"/>
  <c r="F192" i="27"/>
  <c r="F242" i="27"/>
  <c r="F268" i="27"/>
  <c r="J269" i="27"/>
  <c r="J167" i="27"/>
  <c r="G171" i="27"/>
  <c r="F178" i="27"/>
  <c r="J179" i="27"/>
  <c r="J189" i="27"/>
  <c r="G192" i="27"/>
  <c r="J199" i="27"/>
  <c r="J238" i="27"/>
  <c r="G242" i="27"/>
  <c r="F254" i="27"/>
  <c r="J255" i="27"/>
  <c r="J265" i="27"/>
  <c r="G178" i="27"/>
  <c r="F232" i="27"/>
  <c r="J233" i="27"/>
  <c r="J245" i="27"/>
  <c r="J251" i="27"/>
  <c r="J261" i="27"/>
  <c r="J271" i="27"/>
  <c r="J157" i="27"/>
  <c r="F77" i="27" s="1"/>
  <c r="F165" i="27"/>
  <c r="J202" i="27"/>
  <c r="F236" i="27"/>
  <c r="F249" i="27"/>
  <c r="J166" i="27"/>
  <c r="J169" i="27"/>
  <c r="J187" i="27"/>
  <c r="F197" i="27"/>
  <c r="J198" i="27"/>
  <c r="J237" i="27"/>
  <c r="J240" i="27"/>
  <c r="J250" i="27"/>
  <c r="F263" i="27"/>
  <c r="J264" i="27"/>
  <c r="F183" i="27"/>
  <c r="J174" i="25"/>
  <c r="J244" i="25"/>
  <c r="J270" i="25"/>
  <c r="J188" i="25"/>
  <c r="J235" i="25"/>
  <c r="J169" i="25"/>
  <c r="J230" i="25"/>
  <c r="J171" i="25"/>
  <c r="J180" i="25"/>
  <c r="K188" i="25"/>
  <c r="J181" i="25"/>
  <c r="G260" i="25"/>
  <c r="F265" i="25"/>
  <c r="G239" i="25"/>
  <c r="G265" i="25"/>
  <c r="J190" i="25"/>
  <c r="F187" i="25"/>
  <c r="F156" i="25"/>
  <c r="F173" i="25"/>
  <c r="G192" i="25"/>
  <c r="F251" i="25"/>
  <c r="K263" i="25"/>
  <c r="J157" i="25"/>
  <c r="G160" i="25"/>
  <c r="K194" i="25"/>
  <c r="J248" i="25"/>
  <c r="K261" i="25"/>
  <c r="J158" i="25"/>
  <c r="J152" i="25"/>
  <c r="F71" i="25" s="1"/>
  <c r="J167" i="25"/>
  <c r="J241" i="25"/>
  <c r="J267" i="25"/>
  <c r="J168" i="25"/>
  <c r="J258" i="25"/>
  <c r="K164" i="25"/>
  <c r="J189" i="25"/>
  <c r="F239" i="25"/>
  <c r="K241" i="25"/>
  <c r="K268" i="25"/>
  <c r="K168" i="25"/>
  <c r="K184" i="25"/>
  <c r="G187" i="25"/>
  <c r="K242" i="25"/>
  <c r="J249" i="25"/>
  <c r="J252" i="25"/>
  <c r="J262" i="25"/>
  <c r="G156" i="25"/>
  <c r="F166" i="25"/>
  <c r="J266" i="25"/>
  <c r="K152" i="25"/>
  <c r="J162" i="25"/>
  <c r="G166" i="25"/>
  <c r="G173" i="25"/>
  <c r="K190" i="25"/>
  <c r="J194" i="25"/>
  <c r="G233" i="25"/>
  <c r="G246" i="25"/>
  <c r="J255" i="25"/>
  <c r="K169" i="25"/>
  <c r="J184" i="25"/>
  <c r="K195" i="25"/>
  <c r="K225" i="25"/>
  <c r="K237" i="25"/>
  <c r="J240" i="25"/>
  <c r="J179" i="25"/>
  <c r="J231" i="25"/>
  <c r="J257" i="25"/>
  <c r="V74" i="25"/>
  <c r="V113" i="25" s="1"/>
  <c r="W74" i="25"/>
  <c r="W113" i="25" s="1"/>
  <c r="V76" i="25"/>
  <c r="J163" i="25"/>
  <c r="J175" i="25"/>
  <c r="G178" i="25"/>
  <c r="J185" i="25"/>
  <c r="J195" i="25"/>
  <c r="J236" i="25"/>
  <c r="J253" i="25"/>
  <c r="K257" i="25"/>
  <c r="J263" i="25"/>
  <c r="K267" i="25"/>
  <c r="V71" i="25"/>
  <c r="V110" i="25" s="1"/>
  <c r="W71" i="25"/>
  <c r="W110" i="25" s="1"/>
  <c r="F229" i="25"/>
  <c r="J242" i="25"/>
  <c r="G251" i="25"/>
  <c r="J268" i="25"/>
  <c r="F160" i="25"/>
  <c r="J176" i="25"/>
  <c r="J197" i="25"/>
  <c r="J225" i="25"/>
  <c r="G71" i="25" s="1"/>
  <c r="G229" i="25"/>
  <c r="F233" i="25"/>
  <c r="F246" i="25"/>
  <c r="J254" i="25"/>
  <c r="J161" i="25"/>
  <c r="J164" i="25"/>
  <c r="J182" i="25"/>
  <c r="F192" i="25"/>
  <c r="J193" i="25"/>
  <c r="J234" i="25"/>
  <c r="J237" i="25"/>
  <c r="J247" i="25"/>
  <c r="F260" i="25"/>
  <c r="J261" i="25"/>
  <c r="F178" i="25"/>
  <c r="S239" i="24"/>
  <c r="K176" i="24"/>
  <c r="J197" i="24"/>
  <c r="J263" i="24"/>
  <c r="J187" i="24"/>
  <c r="J244" i="24"/>
  <c r="J257" i="24"/>
  <c r="J270" i="24"/>
  <c r="J196" i="24"/>
  <c r="G237" i="24"/>
  <c r="J237" i="24" s="1"/>
  <c r="J179" i="24"/>
  <c r="G185" i="24"/>
  <c r="J194" i="24"/>
  <c r="J183" i="24"/>
  <c r="J188" i="24"/>
  <c r="G199" i="24"/>
  <c r="J265" i="24"/>
  <c r="J164" i="24"/>
  <c r="F86" i="24" s="1"/>
  <c r="J180" i="24"/>
  <c r="K200" i="24"/>
  <c r="J209" i="24"/>
  <c r="J226" i="24"/>
  <c r="G84" i="24" s="1"/>
  <c r="G273" i="24"/>
  <c r="K206" i="24"/>
  <c r="J181" i="24"/>
  <c r="J191" i="24"/>
  <c r="J243" i="24"/>
  <c r="J248" i="24"/>
  <c r="J260" i="24"/>
  <c r="J275" i="24"/>
  <c r="G168" i="24"/>
  <c r="J175" i="24"/>
  <c r="F204" i="24"/>
  <c r="J207" i="24"/>
  <c r="K233" i="24"/>
  <c r="K245" i="24"/>
  <c r="J249" i="24"/>
  <c r="J256" i="24"/>
  <c r="J266" i="24"/>
  <c r="J271" i="24"/>
  <c r="J276" i="24"/>
  <c r="J169" i="24"/>
  <c r="J173" i="24"/>
  <c r="J186" i="24"/>
  <c r="G204" i="24"/>
  <c r="J239" i="24"/>
  <c r="J252" i="24"/>
  <c r="G259" i="24"/>
  <c r="G268" i="24"/>
  <c r="J157" i="24"/>
  <c r="F84" i="24" s="1"/>
  <c r="J192" i="24"/>
  <c r="K207" i="24"/>
  <c r="K250" i="24"/>
  <c r="K271" i="24"/>
  <c r="G247" i="24"/>
  <c r="E25" i="24"/>
  <c r="E149" i="24" s="1"/>
  <c r="J174" i="24"/>
  <c r="J176" i="24"/>
  <c r="J206" i="24"/>
  <c r="K164" i="24"/>
  <c r="J170" i="24"/>
  <c r="G190" i="24"/>
  <c r="K196" i="24"/>
  <c r="J238" i="24"/>
  <c r="G241" i="24"/>
  <c r="J250" i="24"/>
  <c r="K181" i="24"/>
  <c r="J193" i="24"/>
  <c r="J202" i="24"/>
  <c r="K157" i="24"/>
  <c r="K180" i="24"/>
  <c r="K226" i="24"/>
  <c r="K249" i="24"/>
  <c r="K265" i="24"/>
  <c r="K275" i="24"/>
  <c r="J278" i="24"/>
  <c r="F178" i="24"/>
  <c r="F199" i="24"/>
  <c r="F247" i="24"/>
  <c r="F273" i="24"/>
  <c r="F172" i="24"/>
  <c r="J233" i="24"/>
  <c r="G86" i="24" s="1"/>
  <c r="F241" i="24"/>
  <c r="F254" i="24"/>
  <c r="J255" i="24"/>
  <c r="J262" i="24"/>
  <c r="G172" i="24"/>
  <c r="J205" i="24"/>
  <c r="J242" i="24"/>
  <c r="J245" i="24"/>
  <c r="F268" i="24"/>
  <c r="J269" i="24"/>
  <c r="F190" i="24"/>
  <c r="G166" i="23"/>
  <c r="V89" i="23"/>
  <c r="V128" i="23" s="1"/>
  <c r="G234" i="23"/>
  <c r="S231" i="4"/>
  <c r="S225" i="23"/>
  <c r="W86" i="23" s="1"/>
  <c r="W125" i="23" s="1"/>
  <c r="H225" i="23"/>
  <c r="G225" i="23"/>
  <c r="F225" i="23"/>
  <c r="S157" i="23"/>
  <c r="V86" i="23" s="1"/>
  <c r="V125" i="23" s="1"/>
  <c r="H157" i="23"/>
  <c r="G157" i="23"/>
  <c r="F157" i="23"/>
  <c r="G277" i="23"/>
  <c r="F277" i="23"/>
  <c r="H275" i="23"/>
  <c r="G275" i="23"/>
  <c r="F275" i="23"/>
  <c r="H274" i="23"/>
  <c r="G274" i="23"/>
  <c r="F274" i="23"/>
  <c r="G273" i="23"/>
  <c r="F273" i="23"/>
  <c r="H270" i="23"/>
  <c r="G270" i="23"/>
  <c r="F270" i="23"/>
  <c r="G269" i="23"/>
  <c r="F269" i="23"/>
  <c r="H268" i="23"/>
  <c r="G268" i="23"/>
  <c r="F268" i="23"/>
  <c r="G265" i="23"/>
  <c r="F265" i="23"/>
  <c r="H264" i="23"/>
  <c r="G264" i="23"/>
  <c r="F264" i="23"/>
  <c r="G262" i="23"/>
  <c r="F262" i="23"/>
  <c r="G261" i="23"/>
  <c r="F261" i="23"/>
  <c r="G260" i="23"/>
  <c r="F260" i="23"/>
  <c r="G259" i="23"/>
  <c r="F259" i="23"/>
  <c r="G256" i="23"/>
  <c r="F256" i="23"/>
  <c r="G255" i="23"/>
  <c r="F255" i="23"/>
  <c r="G254" i="23"/>
  <c r="F254" i="23"/>
  <c r="G251" i="23"/>
  <c r="F251" i="23"/>
  <c r="H249" i="23"/>
  <c r="G249" i="23"/>
  <c r="F249" i="23"/>
  <c r="H248" i="23"/>
  <c r="G248" i="23"/>
  <c r="F248" i="23"/>
  <c r="G247" i="23"/>
  <c r="F247" i="23"/>
  <c r="H244" i="23"/>
  <c r="G244" i="23"/>
  <c r="F244" i="23"/>
  <c r="G243" i="23"/>
  <c r="F243" i="23"/>
  <c r="G242" i="23"/>
  <c r="F242" i="23"/>
  <c r="G241" i="23"/>
  <c r="F241" i="23"/>
  <c r="W90" i="23"/>
  <c r="G238" i="23"/>
  <c r="F238" i="23"/>
  <c r="G237" i="23"/>
  <c r="F237" i="23"/>
  <c r="G235" i="23"/>
  <c r="S232" i="23"/>
  <c r="W87" i="23" s="1"/>
  <c r="W126" i="23" s="1"/>
  <c r="H232" i="23"/>
  <c r="G232" i="23"/>
  <c r="F232" i="23"/>
  <c r="G231" i="23"/>
  <c r="G209" i="23"/>
  <c r="F209" i="23"/>
  <c r="H207" i="23"/>
  <c r="G207" i="23"/>
  <c r="F207" i="23"/>
  <c r="H206" i="23"/>
  <c r="G206" i="23"/>
  <c r="F206" i="23"/>
  <c r="G205" i="23"/>
  <c r="F205" i="23"/>
  <c r="H202" i="23"/>
  <c r="G202" i="23"/>
  <c r="F202" i="23"/>
  <c r="G201" i="23"/>
  <c r="F201" i="23"/>
  <c r="H200" i="23"/>
  <c r="G200" i="23"/>
  <c r="F200" i="23"/>
  <c r="G197" i="23"/>
  <c r="F197" i="23"/>
  <c r="H196" i="23"/>
  <c r="G196" i="23"/>
  <c r="F196" i="23"/>
  <c r="G194" i="23"/>
  <c r="F194" i="23"/>
  <c r="G193" i="23"/>
  <c r="F193" i="23"/>
  <c r="G192" i="23"/>
  <c r="F192" i="23"/>
  <c r="G191" i="23"/>
  <c r="F191" i="23"/>
  <c r="G188" i="23"/>
  <c r="F188" i="23"/>
  <c r="G187" i="23"/>
  <c r="F187" i="23"/>
  <c r="G186" i="23"/>
  <c r="F186" i="23"/>
  <c r="G183" i="23"/>
  <c r="F183" i="23"/>
  <c r="H181" i="23"/>
  <c r="G181" i="23"/>
  <c r="F181" i="23"/>
  <c r="H180" i="23"/>
  <c r="G180" i="23"/>
  <c r="F180" i="23"/>
  <c r="G179" i="23"/>
  <c r="F179" i="23"/>
  <c r="H176" i="23"/>
  <c r="G176" i="23"/>
  <c r="F176" i="23"/>
  <c r="G175" i="23"/>
  <c r="F175" i="23"/>
  <c r="G174" i="23"/>
  <c r="F174" i="23"/>
  <c r="G173" i="23"/>
  <c r="F173" i="23"/>
  <c r="S172" i="23"/>
  <c r="S171" i="23"/>
  <c r="V90" i="23" s="1"/>
  <c r="G170" i="23"/>
  <c r="F170" i="23"/>
  <c r="G169" i="23"/>
  <c r="F169" i="23"/>
  <c r="G167" i="23"/>
  <c r="S164" i="23"/>
  <c r="V87" i="23" s="1"/>
  <c r="V126" i="23" s="1"/>
  <c r="H164" i="23"/>
  <c r="G164" i="23"/>
  <c r="F164" i="23"/>
  <c r="G163" i="23"/>
  <c r="T131" i="23"/>
  <c r="W130" i="23"/>
  <c r="V130" i="23"/>
  <c r="U130" i="23"/>
  <c r="T130" i="23"/>
  <c r="W129" i="23"/>
  <c r="V129" i="23"/>
  <c r="U129" i="23"/>
  <c r="T129" i="23"/>
  <c r="O129" i="23"/>
  <c r="N129" i="23"/>
  <c r="M129" i="23"/>
  <c r="L129" i="23"/>
  <c r="U128" i="23"/>
  <c r="T128" i="23"/>
  <c r="O128" i="23"/>
  <c r="N128" i="23"/>
  <c r="M128" i="23"/>
  <c r="L128" i="23"/>
  <c r="O127" i="23"/>
  <c r="N127" i="23"/>
  <c r="M127" i="23"/>
  <c r="L127" i="23"/>
  <c r="D126" i="23"/>
  <c r="G125" i="23"/>
  <c r="F125" i="23"/>
  <c r="E125" i="23"/>
  <c r="D125" i="23"/>
  <c r="G124" i="23"/>
  <c r="F124" i="23"/>
  <c r="E124" i="23"/>
  <c r="D124" i="23"/>
  <c r="G123" i="23"/>
  <c r="F123" i="23"/>
  <c r="E123" i="23"/>
  <c r="D123" i="23"/>
  <c r="D122" i="23"/>
  <c r="D121" i="23"/>
  <c r="D120" i="23"/>
  <c r="L100" i="23"/>
  <c r="L130" i="23" s="1"/>
  <c r="L99" i="23"/>
  <c r="L98" i="23"/>
  <c r="L96" i="23"/>
  <c r="L126" i="23" s="1"/>
  <c r="L95" i="23"/>
  <c r="L125" i="23" s="1"/>
  <c r="L94" i="23"/>
  <c r="L124" i="23" s="1"/>
  <c r="L93" i="23"/>
  <c r="L123" i="23" s="1"/>
  <c r="L92" i="23"/>
  <c r="L122" i="23" s="1"/>
  <c r="L91" i="23"/>
  <c r="L121" i="23" s="1"/>
  <c r="L90" i="23"/>
  <c r="L120" i="23" s="1"/>
  <c r="T122" i="4"/>
  <c r="F310" i="29" l="1"/>
  <c r="J168" i="24"/>
  <c r="H243" i="28"/>
  <c r="J259" i="24"/>
  <c r="V91" i="23"/>
  <c r="S254" i="23"/>
  <c r="S240" i="23" s="1"/>
  <c r="W91" i="23" s="1"/>
  <c r="G243" i="28"/>
  <c r="J243" i="28" s="1"/>
  <c r="G83" i="28" s="1"/>
  <c r="S243" i="28"/>
  <c r="W84" i="28" s="1"/>
  <c r="W123" i="28" s="1"/>
  <c r="J239" i="25"/>
  <c r="J185" i="24"/>
  <c r="G166" i="24"/>
  <c r="E218" i="24"/>
  <c r="G235" i="24" s="1"/>
  <c r="J263" i="29"/>
  <c r="J184" i="29"/>
  <c r="J201" i="29"/>
  <c r="J285" i="29"/>
  <c r="J298" i="29"/>
  <c r="J224" i="29"/>
  <c r="J252" i="29"/>
  <c r="O102" i="29" s="1"/>
  <c r="K252" i="29"/>
  <c r="J219" i="29"/>
  <c r="J280" i="29"/>
  <c r="J194" i="29"/>
  <c r="J173" i="29"/>
  <c r="N102" i="29" s="1"/>
  <c r="K173" i="29"/>
  <c r="J206" i="29"/>
  <c r="J303" i="29"/>
  <c r="J267" i="29"/>
  <c r="J188" i="29"/>
  <c r="J273" i="29"/>
  <c r="G166" i="28"/>
  <c r="H167" i="28"/>
  <c r="G167" i="28"/>
  <c r="F167" i="28"/>
  <c r="S167" i="28"/>
  <c r="V84" i="28" s="1"/>
  <c r="V123" i="28" s="1"/>
  <c r="J257" i="28"/>
  <c r="J269" i="28"/>
  <c r="J247" i="28"/>
  <c r="J188" i="28"/>
  <c r="J171" i="28"/>
  <c r="J278" i="28"/>
  <c r="J207" i="28"/>
  <c r="J264" i="28"/>
  <c r="J236" i="28"/>
  <c r="G81" i="28" s="1"/>
  <c r="K236" i="28"/>
  <c r="J202" i="28"/>
  <c r="J175" i="28"/>
  <c r="J181" i="28"/>
  <c r="J283" i="28"/>
  <c r="J251" i="28"/>
  <c r="J160" i="28"/>
  <c r="F81" i="28" s="1"/>
  <c r="K160" i="28"/>
  <c r="J193" i="28"/>
  <c r="J161" i="27"/>
  <c r="J268" i="27"/>
  <c r="J249" i="27"/>
  <c r="J236" i="27"/>
  <c r="J242" i="27"/>
  <c r="J183" i="27"/>
  <c r="J197" i="27"/>
  <c r="J232" i="27"/>
  <c r="J221" i="27"/>
  <c r="G75" i="27" s="1"/>
  <c r="K221" i="27"/>
  <c r="J254" i="27"/>
  <c r="J192" i="27"/>
  <c r="J165" i="27"/>
  <c r="J263" i="27"/>
  <c r="J171" i="27"/>
  <c r="J178" i="27"/>
  <c r="J150" i="27"/>
  <c r="F75" i="27" s="1"/>
  <c r="K150" i="27"/>
  <c r="J265" i="25"/>
  <c r="J156" i="25"/>
  <c r="J251" i="25"/>
  <c r="J173" i="25"/>
  <c r="J187" i="25"/>
  <c r="J166" i="25"/>
  <c r="J192" i="25"/>
  <c r="J178" i="25"/>
  <c r="J229" i="25"/>
  <c r="J233" i="25"/>
  <c r="J160" i="25"/>
  <c r="J218" i="25"/>
  <c r="G69" i="25" s="1"/>
  <c r="G108" i="25" s="1"/>
  <c r="K218" i="25"/>
  <c r="J145" i="25"/>
  <c r="F69" i="25" s="1"/>
  <c r="F108" i="25" s="1"/>
  <c r="K145" i="25"/>
  <c r="J260" i="25"/>
  <c r="J246" i="25"/>
  <c r="J204" i="24"/>
  <c r="J241" i="24"/>
  <c r="J273" i="24"/>
  <c r="J247" i="24"/>
  <c r="W89" i="24"/>
  <c r="W128" i="24" s="1"/>
  <c r="V89" i="24"/>
  <c r="V128" i="24" s="1"/>
  <c r="J268" i="24"/>
  <c r="J199" i="24"/>
  <c r="J172" i="24"/>
  <c r="J178" i="24"/>
  <c r="J190" i="24"/>
  <c r="J254" i="24"/>
  <c r="S251" i="23"/>
  <c r="S238" i="23" s="1"/>
  <c r="W89" i="23" s="1"/>
  <c r="W128" i="23" s="1"/>
  <c r="I25" i="23"/>
  <c r="J251" i="23"/>
  <c r="G236" i="23"/>
  <c r="J265" i="23"/>
  <c r="K274" i="23"/>
  <c r="G168" i="23"/>
  <c r="K232" i="23"/>
  <c r="J170" i="23"/>
  <c r="K181" i="23"/>
  <c r="K164" i="23"/>
  <c r="G199" i="23"/>
  <c r="J238" i="23"/>
  <c r="G178" i="23"/>
  <c r="G246" i="23"/>
  <c r="J193" i="23"/>
  <c r="J254" i="23"/>
  <c r="J187" i="23"/>
  <c r="K249" i="23"/>
  <c r="G267" i="23"/>
  <c r="J275" i="23"/>
  <c r="J200" i="23"/>
  <c r="J255" i="23"/>
  <c r="G272" i="23"/>
  <c r="J197" i="23"/>
  <c r="J261" i="23"/>
  <c r="F253" i="23"/>
  <c r="G190" i="23"/>
  <c r="J242" i="23"/>
  <c r="J268" i="23"/>
  <c r="J164" i="23"/>
  <c r="F86" i="23" s="1"/>
  <c r="G172" i="23"/>
  <c r="K180" i="23"/>
  <c r="J206" i="23"/>
  <c r="K264" i="23"/>
  <c r="K176" i="23"/>
  <c r="J183" i="23"/>
  <c r="K202" i="23"/>
  <c r="J243" i="23"/>
  <c r="J247" i="23"/>
  <c r="K275" i="23"/>
  <c r="F185" i="23"/>
  <c r="J207" i="23"/>
  <c r="G258" i="23"/>
  <c r="J186" i="23"/>
  <c r="J196" i="23"/>
  <c r="G240" i="23"/>
  <c r="K248" i="23"/>
  <c r="J175" i="23"/>
  <c r="J179" i="23"/>
  <c r="K200" i="23"/>
  <c r="G204" i="23"/>
  <c r="K207" i="23"/>
  <c r="K244" i="23"/>
  <c r="K270" i="23"/>
  <c r="J174" i="23"/>
  <c r="J264" i="23"/>
  <c r="K268" i="23"/>
  <c r="J274" i="23"/>
  <c r="F168" i="23"/>
  <c r="J169" i="23"/>
  <c r="J181" i="23"/>
  <c r="G185" i="23"/>
  <c r="J192" i="23"/>
  <c r="K196" i="23"/>
  <c r="J202" i="23"/>
  <c r="K206" i="23"/>
  <c r="F236" i="23"/>
  <c r="J237" i="23"/>
  <c r="J249" i="23"/>
  <c r="G253" i="23"/>
  <c r="J260" i="23"/>
  <c r="J270" i="23"/>
  <c r="F172" i="23"/>
  <c r="J188" i="23"/>
  <c r="J209" i="23"/>
  <c r="J232" i="23"/>
  <c r="G86" i="23" s="1"/>
  <c r="F240" i="23"/>
  <c r="J256" i="23"/>
  <c r="J277" i="23"/>
  <c r="J173" i="23"/>
  <c r="J176" i="23"/>
  <c r="J194" i="23"/>
  <c r="F204" i="23"/>
  <c r="J205" i="23"/>
  <c r="J241" i="23"/>
  <c r="J244" i="23"/>
  <c r="J262" i="23"/>
  <c r="F272" i="23"/>
  <c r="J273" i="23"/>
  <c r="J180" i="23"/>
  <c r="F190" i="23"/>
  <c r="J191" i="23"/>
  <c r="J201" i="23"/>
  <c r="J248" i="23"/>
  <c r="F258" i="23"/>
  <c r="J259" i="23"/>
  <c r="J269" i="23"/>
  <c r="F178" i="23"/>
  <c r="F199" i="23"/>
  <c r="F246" i="23"/>
  <c r="F267" i="23"/>
  <c r="J185" i="23" l="1"/>
  <c r="K243" i="28"/>
  <c r="K167" i="28"/>
  <c r="J167" i="28"/>
  <c r="F83" i="28" s="1"/>
  <c r="J253" i="23"/>
  <c r="J267" i="23"/>
  <c r="J246" i="23"/>
  <c r="J272" i="23"/>
  <c r="J204" i="23"/>
  <c r="J168" i="23"/>
  <c r="J178" i="23"/>
  <c r="J240" i="23"/>
  <c r="J258" i="23"/>
  <c r="J236" i="23"/>
  <c r="K157" i="23"/>
  <c r="J157" i="23"/>
  <c r="F84" i="23" s="1"/>
  <c r="J199" i="23"/>
  <c r="J172" i="23"/>
  <c r="J190" i="23"/>
  <c r="K225" i="23"/>
  <c r="J225" i="23"/>
  <c r="G84" i="23" s="1"/>
  <c r="M118" i="4" l="1"/>
  <c r="N118" i="4"/>
  <c r="O118" i="4"/>
  <c r="M119" i="4"/>
  <c r="N119" i="4"/>
  <c r="O119" i="4"/>
  <c r="M120" i="4"/>
  <c r="N120" i="4"/>
  <c r="O120" i="4"/>
  <c r="L118" i="4"/>
  <c r="L119" i="4"/>
  <c r="L120" i="4"/>
  <c r="L91" i="4"/>
  <c r="L121" i="4" s="1"/>
  <c r="L90" i="4"/>
  <c r="L89" i="4"/>
  <c r="L87" i="4"/>
  <c r="L117" i="4" s="1"/>
  <c r="L86" i="4"/>
  <c r="L116" i="4" s="1"/>
  <c r="L85" i="4"/>
  <c r="L115" i="4" s="1"/>
  <c r="L84" i="4"/>
  <c r="L114" i="4" s="1"/>
  <c r="L83" i="4"/>
  <c r="L113" i="4" s="1"/>
  <c r="L82" i="4"/>
  <c r="L112" i="4" s="1"/>
  <c r="L81" i="4"/>
  <c r="L111" i="4" s="1"/>
  <c r="S223" i="4"/>
  <c r="S155" i="4"/>
  <c r="G253" i="4"/>
  <c r="G252" i="4"/>
  <c r="G251" i="4"/>
  <c r="G250" i="4"/>
  <c r="G242" i="4"/>
  <c r="E208" i="4"/>
  <c r="S216" i="4" s="1"/>
  <c r="G185" i="4"/>
  <c r="G184" i="4"/>
  <c r="G183" i="4"/>
  <c r="G182" i="4"/>
  <c r="H266" i="4"/>
  <c r="G266" i="4"/>
  <c r="F266" i="4"/>
  <c r="H265" i="4"/>
  <c r="G265" i="4"/>
  <c r="F265" i="4"/>
  <c r="H261" i="4"/>
  <c r="G261" i="4"/>
  <c r="F261" i="4"/>
  <c r="H259" i="4"/>
  <c r="G259" i="4"/>
  <c r="F259" i="4"/>
  <c r="H240" i="4"/>
  <c r="G240" i="4"/>
  <c r="F240" i="4"/>
  <c r="H239" i="4"/>
  <c r="G239" i="4"/>
  <c r="F239" i="4"/>
  <c r="H198" i="4"/>
  <c r="G198" i="4"/>
  <c r="F198" i="4"/>
  <c r="H197" i="4"/>
  <c r="G197" i="4"/>
  <c r="F197" i="4"/>
  <c r="F193" i="4"/>
  <c r="H193" i="4"/>
  <c r="G193" i="4"/>
  <c r="H191" i="4"/>
  <c r="G191" i="4"/>
  <c r="F191" i="4"/>
  <c r="H172" i="4"/>
  <c r="H171" i="4"/>
  <c r="G172" i="4"/>
  <c r="G171" i="4"/>
  <c r="F172" i="4"/>
  <c r="F171" i="4"/>
  <c r="G192" i="4"/>
  <c r="G187" i="4"/>
  <c r="R49" i="12"/>
  <c r="G179" i="4"/>
  <c r="G178" i="4"/>
  <c r="G177" i="4"/>
  <c r="G174" i="4"/>
  <c r="G170" i="4"/>
  <c r="G260" i="4"/>
  <c r="G255" i="4"/>
  <c r="F250" i="4"/>
  <c r="G247" i="4"/>
  <c r="G246" i="4"/>
  <c r="G245" i="4"/>
  <c r="G238" i="4"/>
  <c r="G232" i="4"/>
  <c r="H235" i="4"/>
  <c r="F235" i="4"/>
  <c r="G235" i="4"/>
  <c r="G234" i="4"/>
  <c r="G233" i="4"/>
  <c r="H167" i="4"/>
  <c r="G166" i="4"/>
  <c r="G165" i="4"/>
  <c r="G164" i="4"/>
  <c r="G167" i="4"/>
  <c r="F167" i="4"/>
  <c r="S229" i="4"/>
  <c r="S230" i="4"/>
  <c r="AN44" i="11"/>
  <c r="S70" i="12"/>
  <c r="S69" i="12"/>
  <c r="R69" i="12"/>
  <c r="R70" i="12"/>
  <c r="Q70" i="12"/>
  <c r="Q69" i="12"/>
  <c r="Q65" i="12"/>
  <c r="R65" i="12"/>
  <c r="S65" i="12"/>
  <c r="S63" i="12"/>
  <c r="R63" i="12"/>
  <c r="Q63" i="12"/>
  <c r="Q44" i="12"/>
  <c r="R44" i="12"/>
  <c r="S44" i="12"/>
  <c r="S43" i="12"/>
  <c r="R43" i="12"/>
  <c r="Q43" i="12"/>
  <c r="AY55" i="11"/>
  <c r="AY54" i="11"/>
  <c r="AY50" i="11"/>
  <c r="AY48" i="11"/>
  <c r="AY44" i="11"/>
  <c r="AY29" i="11"/>
  <c r="AY28" i="11"/>
  <c r="AY24" i="11"/>
  <c r="AY14" i="11"/>
  <c r="AY12" i="11"/>
  <c r="AU14" i="11"/>
  <c r="AU12" i="11"/>
  <c r="AQ14" i="11"/>
  <c r="AQ12" i="11"/>
  <c r="AG55" i="11"/>
  <c r="AG54" i="11"/>
  <c r="AG50" i="11"/>
  <c r="AG48" i="11"/>
  <c r="AG44" i="11"/>
  <c r="AG29" i="11"/>
  <c r="AG28" i="11"/>
  <c r="AG24" i="11"/>
  <c r="AG14" i="11"/>
  <c r="AG12" i="11"/>
  <c r="AC14" i="11"/>
  <c r="AC12" i="11"/>
  <c r="Y14" i="11"/>
  <c r="Y12" i="11"/>
  <c r="O44" i="11"/>
  <c r="O55" i="11"/>
  <c r="O54" i="11"/>
  <c r="O50" i="11"/>
  <c r="O48" i="11"/>
  <c r="O29" i="11"/>
  <c r="O28" i="11"/>
  <c r="O24" i="11"/>
  <c r="O14" i="11"/>
  <c r="O12" i="11"/>
  <c r="K14" i="11"/>
  <c r="K12" i="11"/>
  <c r="G14" i="11"/>
  <c r="G12" i="11"/>
  <c r="AO54" i="11"/>
  <c r="AO12" i="11"/>
  <c r="AN63" i="11"/>
  <c r="AN62" i="11"/>
  <c r="AN61" i="11"/>
  <c r="AN60" i="11"/>
  <c r="AN11" i="11"/>
  <c r="AM59" i="11"/>
  <c r="AM20" i="11"/>
  <c r="U8" i="11"/>
  <c r="AM8" i="11" s="1"/>
  <c r="W57" i="11"/>
  <c r="AO57" i="11" s="1"/>
  <c r="W55" i="11"/>
  <c r="AO55" i="11" s="1"/>
  <c r="W54" i="11"/>
  <c r="W53" i="11"/>
  <c r="AO53" i="11" s="1"/>
  <c r="W50" i="11"/>
  <c r="AO50" i="11" s="1"/>
  <c r="W49" i="11"/>
  <c r="AO49" i="11" s="1"/>
  <c r="W48" i="11"/>
  <c r="AO48" i="11" s="1"/>
  <c r="W45" i="11"/>
  <c r="AO45" i="11" s="1"/>
  <c r="W44" i="11"/>
  <c r="AO44" i="11" s="1"/>
  <c r="W36" i="11"/>
  <c r="AO36" i="11" s="1"/>
  <c r="W35" i="11"/>
  <c r="AO35" i="11" s="1"/>
  <c r="W34" i="11"/>
  <c r="AO34" i="11" s="1"/>
  <c r="W31" i="11"/>
  <c r="AO31" i="11" s="1"/>
  <c r="W29" i="11"/>
  <c r="AO29" i="11" s="1"/>
  <c r="W28" i="11"/>
  <c r="AO28" i="11" s="1"/>
  <c r="W27" i="11"/>
  <c r="AO27" i="11" s="1"/>
  <c r="W24" i="11"/>
  <c r="AO24" i="11" s="1"/>
  <c r="W23" i="11"/>
  <c r="AO23" i="11" s="1"/>
  <c r="W22" i="11"/>
  <c r="AO22" i="11" s="1"/>
  <c r="W21" i="11"/>
  <c r="AO21" i="11" s="1"/>
  <c r="W18" i="11"/>
  <c r="AO18" i="11" s="1"/>
  <c r="W17" i="11"/>
  <c r="AO17" i="11" s="1"/>
  <c r="W15" i="11"/>
  <c r="AO15" i="11" s="1"/>
  <c r="W14" i="11"/>
  <c r="AO14" i="11" s="1"/>
  <c r="W13" i="11"/>
  <c r="AO13" i="11" s="1"/>
  <c r="W12" i="11"/>
  <c r="W11" i="11"/>
  <c r="AO11" i="11" s="1"/>
  <c r="W10" i="11"/>
  <c r="AO10" i="11" s="1"/>
  <c r="C26" i="11"/>
  <c r="U26" i="11" s="1"/>
  <c r="AM26" i="11" s="1"/>
  <c r="C33" i="11"/>
  <c r="U33" i="11" s="1"/>
  <c r="AM33" i="11" s="1"/>
  <c r="C38" i="11"/>
  <c r="C47" i="11"/>
  <c r="U47" i="11" s="1"/>
  <c r="AM47" i="11" s="1"/>
  <c r="C52" i="11"/>
  <c r="U52" i="11" s="1"/>
  <c r="AM52" i="11" s="1"/>
  <c r="D57" i="11"/>
  <c r="V57" i="11" s="1"/>
  <c r="AN57" i="11" s="1"/>
  <c r="D55" i="11"/>
  <c r="V55" i="11" s="1"/>
  <c r="AN55" i="11" s="1"/>
  <c r="D54" i="11"/>
  <c r="V54" i="11" s="1"/>
  <c r="AN54" i="11" s="1"/>
  <c r="D53" i="11"/>
  <c r="V53" i="11" s="1"/>
  <c r="AN53" i="11" s="1"/>
  <c r="D50" i="11"/>
  <c r="V50" i="11" s="1"/>
  <c r="AN50" i="11" s="1"/>
  <c r="D49" i="11"/>
  <c r="V49" i="11" s="1"/>
  <c r="AN49" i="11" s="1"/>
  <c r="D48" i="11"/>
  <c r="V48" i="11" s="1"/>
  <c r="AN48" i="11" s="1"/>
  <c r="D45" i="11"/>
  <c r="V45" i="11" s="1"/>
  <c r="AN45" i="11" s="1"/>
  <c r="D42" i="11"/>
  <c r="V42" i="11" s="1"/>
  <c r="AN42" i="11" s="1"/>
  <c r="D41" i="11"/>
  <c r="V41" i="11" s="1"/>
  <c r="AN41" i="11" s="1"/>
  <c r="D40" i="11"/>
  <c r="V40" i="11" s="1"/>
  <c r="AN40" i="11" s="1"/>
  <c r="D39" i="11"/>
  <c r="V39" i="11" s="1"/>
  <c r="AN39" i="11" s="1"/>
  <c r="D36" i="11"/>
  <c r="V36" i="11" s="1"/>
  <c r="AN36" i="11" s="1"/>
  <c r="D35" i="11"/>
  <c r="V35" i="11" s="1"/>
  <c r="AN35" i="11" s="1"/>
  <c r="D34" i="11"/>
  <c r="V34" i="11" s="1"/>
  <c r="AN34" i="11" s="1"/>
  <c r="D31" i="11"/>
  <c r="V31" i="11" s="1"/>
  <c r="AN31" i="11" s="1"/>
  <c r="D29" i="11"/>
  <c r="V29" i="11" s="1"/>
  <c r="AN29" i="11" s="1"/>
  <c r="D28" i="11"/>
  <c r="V28" i="11" s="1"/>
  <c r="AN28" i="11" s="1"/>
  <c r="D27" i="11"/>
  <c r="V27" i="11" s="1"/>
  <c r="AN27" i="11" s="1"/>
  <c r="D22" i="11"/>
  <c r="V22" i="11" s="1"/>
  <c r="AN22" i="11" s="1"/>
  <c r="D23" i="11"/>
  <c r="V23" i="11" s="1"/>
  <c r="AN23" i="11" s="1"/>
  <c r="D24" i="11"/>
  <c r="V24" i="11" s="1"/>
  <c r="AN24" i="11" s="1"/>
  <c r="D21" i="11"/>
  <c r="V21" i="11" s="1"/>
  <c r="AN21" i="11" s="1"/>
  <c r="V12" i="11"/>
  <c r="AN12" i="11" s="1"/>
  <c r="D10" i="11"/>
  <c r="V10" i="11" s="1"/>
  <c r="AN10" i="11" s="1"/>
  <c r="D9" i="11"/>
  <c r="V9" i="11" s="1"/>
  <c r="AN9" i="11" s="1"/>
  <c r="V13" i="11"/>
  <c r="AN13" i="11" s="1"/>
  <c r="V14" i="11"/>
  <c r="AN14" i="11" s="1"/>
  <c r="V15" i="11"/>
  <c r="AN15" i="11" s="1"/>
  <c r="V17" i="11"/>
  <c r="AN17" i="11" s="1"/>
  <c r="V18" i="11"/>
  <c r="AN18" i="11" s="1"/>
  <c r="Q59" i="12"/>
  <c r="Q60" i="12"/>
  <c r="O64" i="12"/>
  <c r="O65" i="12"/>
  <c r="O68" i="12"/>
  <c r="O69" i="12"/>
  <c r="O70" i="12"/>
  <c r="O72" i="12"/>
  <c r="O62" i="12"/>
  <c r="O63" i="12"/>
  <c r="O43" i="12"/>
  <c r="O44" i="12"/>
  <c r="O46" i="12"/>
  <c r="O48" i="12"/>
  <c r="O49" i="12"/>
  <c r="O50" i="12"/>
  <c r="O51" i="12"/>
  <c r="O42" i="12"/>
  <c r="O41" i="12"/>
  <c r="O37" i="12"/>
  <c r="O38" i="12"/>
  <c r="O39" i="12"/>
  <c r="O36" i="12"/>
  <c r="O33" i="12"/>
  <c r="O32" i="12"/>
  <c r="O29" i="12"/>
  <c r="O28" i="12"/>
  <c r="O26" i="12"/>
  <c r="O25" i="12"/>
  <c r="O24" i="12"/>
  <c r="O22" i="12"/>
  <c r="O21" i="12"/>
  <c r="O18" i="12"/>
  <c r="O19" i="12"/>
  <c r="O17" i="12"/>
  <c r="O16" i="12"/>
  <c r="Q49" i="12"/>
  <c r="Q50" i="12"/>
  <c r="Q51" i="12"/>
  <c r="Q64" i="12"/>
  <c r="H255" i="4"/>
  <c r="F255" i="4"/>
  <c r="H187" i="4"/>
  <c r="F187" i="4"/>
  <c r="V43" i="12" l="1"/>
  <c r="V44" i="12"/>
  <c r="H216" i="4"/>
  <c r="F216" i="4"/>
  <c r="G216" i="4"/>
  <c r="J259" i="4"/>
  <c r="J198" i="4"/>
  <c r="G176" i="4"/>
  <c r="G163" i="4"/>
  <c r="G190" i="4"/>
  <c r="G169" i="4"/>
  <c r="G181" i="4"/>
  <c r="J240" i="4"/>
  <c r="K265" i="4"/>
  <c r="K266" i="4"/>
  <c r="K261" i="4"/>
  <c r="K198" i="4"/>
  <c r="K193" i="4"/>
  <c r="J193" i="4"/>
  <c r="J266" i="4"/>
  <c r="J265" i="4"/>
  <c r="J261" i="4"/>
  <c r="K259" i="4"/>
  <c r="G258" i="4"/>
  <c r="K240" i="4"/>
  <c r="K239" i="4"/>
  <c r="J239" i="4"/>
  <c r="G237" i="4"/>
  <c r="K197" i="4"/>
  <c r="J197" i="4"/>
  <c r="J191" i="4"/>
  <c r="K191" i="4"/>
  <c r="K172" i="4"/>
  <c r="K171" i="4"/>
  <c r="J171" i="4"/>
  <c r="J172" i="4"/>
  <c r="G249" i="4"/>
  <c r="G244" i="4"/>
  <c r="K235" i="4"/>
  <c r="J235" i="4"/>
  <c r="G231" i="4"/>
  <c r="J167" i="4"/>
  <c r="K167" i="4"/>
  <c r="V70" i="12"/>
  <c r="U69" i="12"/>
  <c r="U70" i="12"/>
  <c r="V69" i="12"/>
  <c r="U44" i="12"/>
  <c r="U65" i="12"/>
  <c r="V65" i="12"/>
  <c r="U63" i="12"/>
  <c r="Q62" i="12"/>
  <c r="V63" i="12"/>
  <c r="U43" i="12"/>
  <c r="Q48" i="12"/>
  <c r="S59" i="12"/>
  <c r="R59" i="12"/>
  <c r="Q26" i="12"/>
  <c r="S39" i="12"/>
  <c r="R39" i="12"/>
  <c r="Q39" i="12"/>
  <c r="Q38" i="12"/>
  <c r="T121" i="4"/>
  <c r="T120" i="4"/>
  <c r="T119" i="4"/>
  <c r="V120" i="4"/>
  <c r="V121" i="4"/>
  <c r="W121" i="4"/>
  <c r="U119" i="4"/>
  <c r="U121" i="4"/>
  <c r="U120" i="4"/>
  <c r="W82" i="4"/>
  <c r="V82" i="4"/>
  <c r="W80" i="4"/>
  <c r="W119" i="4" s="1"/>
  <c r="W81" i="4"/>
  <c r="W120" i="4" s="1"/>
  <c r="V80" i="4"/>
  <c r="V119" i="4" s="1"/>
  <c r="V81" i="4"/>
  <c r="V39" i="12" l="1"/>
  <c r="U39" i="12"/>
  <c r="W78" i="4"/>
  <c r="W117" i="4" s="1"/>
  <c r="V78" i="4"/>
  <c r="V117" i="4" s="1"/>
  <c r="G264" i="4"/>
  <c r="G263" i="4" s="1"/>
  <c r="F264" i="4"/>
  <c r="F263" i="4" s="1"/>
  <c r="G256" i="4"/>
  <c r="F256" i="4"/>
  <c r="G268" i="4"/>
  <c r="F268" i="4"/>
  <c r="G229" i="4"/>
  <c r="F229" i="4"/>
  <c r="G228" i="4"/>
  <c r="F228" i="4"/>
  <c r="G226" i="4"/>
  <c r="G225" i="4"/>
  <c r="H223" i="4"/>
  <c r="G223" i="4"/>
  <c r="F223" i="4"/>
  <c r="G222" i="4"/>
  <c r="F253" i="4"/>
  <c r="F252" i="4"/>
  <c r="F251" i="4"/>
  <c r="F260" i="4"/>
  <c r="F247" i="4"/>
  <c r="F246" i="4"/>
  <c r="F245" i="4"/>
  <c r="F238" i="4"/>
  <c r="F237" i="4" s="1"/>
  <c r="F242" i="4"/>
  <c r="F234" i="4"/>
  <c r="F233" i="4"/>
  <c r="F232" i="4"/>
  <c r="H155" i="4"/>
  <c r="G155" i="4"/>
  <c r="F155" i="4"/>
  <c r="G157" i="4"/>
  <c r="G158" i="4"/>
  <c r="G160" i="4"/>
  <c r="F160" i="4"/>
  <c r="G161" i="4"/>
  <c r="F161" i="4"/>
  <c r="G196" i="4"/>
  <c r="G195" i="4" s="1"/>
  <c r="F196" i="4"/>
  <c r="F195" i="4" s="1"/>
  <c r="G188" i="4"/>
  <c r="F188" i="4"/>
  <c r="G200" i="4"/>
  <c r="F200" i="4"/>
  <c r="G154" i="4"/>
  <c r="F192" i="4"/>
  <c r="F190" i="4" s="1"/>
  <c r="F179" i="4"/>
  <c r="F178" i="4"/>
  <c r="F177" i="4"/>
  <c r="F170" i="4"/>
  <c r="F169" i="4" s="1"/>
  <c r="F174" i="4"/>
  <c r="F185" i="4"/>
  <c r="F184" i="4"/>
  <c r="F183" i="4"/>
  <c r="F182" i="4"/>
  <c r="F166" i="4"/>
  <c r="F165" i="4"/>
  <c r="F164" i="4"/>
  <c r="F249" i="4" l="1"/>
  <c r="F176" i="4"/>
  <c r="F227" i="4"/>
  <c r="F163" i="4"/>
  <c r="F159" i="4"/>
  <c r="J195" i="4"/>
  <c r="F258" i="4"/>
  <c r="J258" i="4" s="1"/>
  <c r="F244" i="4"/>
  <c r="F181" i="4"/>
  <c r="G159" i="4"/>
  <c r="J263" i="4"/>
  <c r="G227" i="4"/>
  <c r="F231" i="4"/>
  <c r="J237" i="4"/>
  <c r="J190" i="4"/>
  <c r="J169" i="4"/>
  <c r="J253" i="4"/>
  <c r="J233" i="4"/>
  <c r="J245" i="4"/>
  <c r="J264" i="4"/>
  <c r="J229" i="4"/>
  <c r="J260" i="4"/>
  <c r="J238" i="4"/>
  <c r="J178" i="4"/>
  <c r="J170" i="4"/>
  <c r="J187" i="4"/>
  <c r="J246" i="4"/>
  <c r="J192" i="4"/>
  <c r="J161" i="4"/>
  <c r="J247" i="4"/>
  <c r="J252" i="4"/>
  <c r="J196" i="4"/>
  <c r="J234" i="4"/>
  <c r="J165" i="4"/>
  <c r="J184" i="4"/>
  <c r="J177" i="4"/>
  <c r="J185" i="4"/>
  <c r="K255" i="4"/>
  <c r="J228" i="4"/>
  <c r="J160" i="4"/>
  <c r="J255" i="4"/>
  <c r="J188" i="4"/>
  <c r="J166" i="4"/>
  <c r="J223" i="4"/>
  <c r="G77" i="4" s="1"/>
  <c r="K223" i="4"/>
  <c r="J268" i="4"/>
  <c r="J256" i="4"/>
  <c r="J232" i="4"/>
  <c r="K155" i="4"/>
  <c r="J200" i="4"/>
  <c r="J179" i="4"/>
  <c r="J164" i="4"/>
  <c r="J155" i="4"/>
  <c r="F77" i="4" s="1"/>
  <c r="D111" i="4"/>
  <c r="D112" i="4"/>
  <c r="D113" i="4"/>
  <c r="D115" i="4"/>
  <c r="D116" i="4"/>
  <c r="D117" i="4"/>
  <c r="D114" i="4"/>
  <c r="Q61" i="14"/>
  <c r="Q60" i="14"/>
  <c r="Q59" i="14"/>
  <c r="Q58" i="14"/>
  <c r="P61" i="14"/>
  <c r="P60" i="14"/>
  <c r="P59" i="14"/>
  <c r="P58" i="14"/>
  <c r="J227" i="4" l="1"/>
  <c r="J249" i="4"/>
  <c r="J159" i="4"/>
  <c r="J231" i="4"/>
  <c r="J244" i="4"/>
  <c r="J163" i="4"/>
  <c r="J176" i="4"/>
  <c r="M9" i="14"/>
  <c r="M68" i="14" s="1"/>
  <c r="Q9" i="14" s="1"/>
  <c r="L9" i="14"/>
  <c r="L68" i="14" s="1"/>
  <c r="P9" i="14" l="1"/>
  <c r="AG11" i="11" s="1"/>
  <c r="AC11" i="11"/>
  <c r="AB21" i="12"/>
  <c r="AB20" i="12"/>
  <c r="J14" i="13"/>
  <c r="E14" i="3" s="1"/>
  <c r="AB22" i="12" s="1"/>
  <c r="E13" i="3"/>
  <c r="I13" i="3" s="1"/>
  <c r="D14" i="3"/>
  <c r="D15" i="3"/>
  <c r="D12" i="3"/>
  <c r="D11" i="3"/>
  <c r="E11" i="3"/>
  <c r="D10" i="3"/>
  <c r="G114" i="4"/>
  <c r="F114" i="4"/>
  <c r="J11" i="13"/>
  <c r="E10" i="3"/>
  <c r="R26" i="12"/>
  <c r="R19" i="12"/>
  <c r="Q11" i="14"/>
  <c r="P11" i="14"/>
  <c r="I11" i="14"/>
  <c r="H11" i="14"/>
  <c r="J12" i="13" l="1"/>
  <c r="E15" i="3" s="1"/>
  <c r="S177" i="31"/>
  <c r="V93" i="31" s="1"/>
  <c r="V132" i="31" s="1"/>
  <c r="S175" i="30"/>
  <c r="V91" i="30" s="1"/>
  <c r="V130" i="30" s="1"/>
  <c r="S178" i="29"/>
  <c r="V94" i="29" s="1"/>
  <c r="V133" i="29" s="1"/>
  <c r="S156" i="27"/>
  <c r="V76" i="27" s="1"/>
  <c r="V115" i="27" s="1"/>
  <c r="S163" i="24"/>
  <c r="V85" i="24" s="1"/>
  <c r="V124" i="24" s="1"/>
  <c r="S151" i="25"/>
  <c r="V70" i="25" s="1"/>
  <c r="V109" i="25" s="1"/>
  <c r="S163" i="23"/>
  <c r="V85" i="23" s="1"/>
  <c r="V124" i="23" s="1"/>
  <c r="S166" i="28"/>
  <c r="V82" i="28" s="1"/>
  <c r="V121" i="28" s="1"/>
  <c r="S154" i="4"/>
  <c r="V76" i="4" s="1"/>
  <c r="V115" i="4" s="1"/>
  <c r="U79" i="4"/>
  <c r="U118" i="4" s="1"/>
  <c r="U88" i="23"/>
  <c r="U127" i="23" s="1"/>
  <c r="U96" i="31"/>
  <c r="U135" i="31" s="1"/>
  <c r="U94" i="30"/>
  <c r="U133" i="30" s="1"/>
  <c r="U79" i="27"/>
  <c r="U118" i="27" s="1"/>
  <c r="U73" i="25"/>
  <c r="U112" i="25" s="1"/>
  <c r="U97" i="29"/>
  <c r="U136" i="29" s="1"/>
  <c r="U85" i="28"/>
  <c r="U124" i="28" s="1"/>
  <c r="U88" i="24"/>
  <c r="U127" i="24" s="1"/>
  <c r="E12" i="3"/>
  <c r="U92" i="30"/>
  <c r="U131" i="30" s="1"/>
  <c r="U94" i="31"/>
  <c r="U133" i="31" s="1"/>
  <c r="U78" i="4"/>
  <c r="U117" i="4" s="1"/>
  <c r="U93" i="30"/>
  <c r="U132" i="30" s="1"/>
  <c r="U95" i="31"/>
  <c r="U134" i="31" s="1"/>
  <c r="U87" i="24"/>
  <c r="U126" i="24" s="1"/>
  <c r="U78" i="27"/>
  <c r="U117" i="27" s="1"/>
  <c r="U84" i="28"/>
  <c r="U123" i="28" s="1"/>
  <c r="U72" i="25"/>
  <c r="U111" i="25" s="1"/>
  <c r="U96" i="29"/>
  <c r="U135" i="29" s="1"/>
  <c r="U87" i="23"/>
  <c r="U126" i="23" s="1"/>
  <c r="U95" i="29"/>
  <c r="U77" i="27"/>
  <c r="U83" i="28"/>
  <c r="U77" i="4"/>
  <c r="U116" i="4" s="1"/>
  <c r="U86" i="24"/>
  <c r="U71" i="25"/>
  <c r="U86" i="23"/>
  <c r="AB19" i="12"/>
  <c r="M13" i="3"/>
  <c r="I14" i="3"/>
  <c r="S253" i="30" l="1"/>
  <c r="W91" i="30" s="1"/>
  <c r="W130" i="30" s="1"/>
  <c r="S256" i="31"/>
  <c r="W93" i="31" s="1"/>
  <c r="W132" i="31" s="1"/>
  <c r="S256" i="29"/>
  <c r="W94" i="29" s="1"/>
  <c r="W133" i="29" s="1"/>
  <c r="S227" i="27"/>
  <c r="W76" i="27" s="1"/>
  <c r="W115" i="27" s="1"/>
  <c r="S232" i="24"/>
  <c r="W85" i="24" s="1"/>
  <c r="W124" i="24" s="1"/>
  <c r="S224" i="25"/>
  <c r="W70" i="25" s="1"/>
  <c r="W109" i="25" s="1"/>
  <c r="S231" i="23"/>
  <c r="W85" i="23" s="1"/>
  <c r="W124" i="23" s="1"/>
  <c r="S242" i="28"/>
  <c r="W82" i="28" s="1"/>
  <c r="W121" i="28" s="1"/>
  <c r="S222" i="4"/>
  <c r="W76" i="4" s="1"/>
  <c r="W115" i="4" s="1"/>
  <c r="M14" i="3"/>
  <c r="S178" i="30"/>
  <c r="S181" i="31"/>
  <c r="S180" i="31"/>
  <c r="S179" i="30"/>
  <c r="S182" i="29"/>
  <c r="S181" i="29"/>
  <c r="S170" i="28"/>
  <c r="S160" i="27"/>
  <c r="S154" i="25"/>
  <c r="S169" i="28"/>
  <c r="S159" i="27"/>
  <c r="S155" i="25"/>
  <c r="S167" i="24"/>
  <c r="S166" i="23"/>
  <c r="S167" i="23"/>
  <c r="S166" i="24"/>
  <c r="S158" i="4"/>
  <c r="S157" i="4"/>
  <c r="U76" i="4"/>
  <c r="U115" i="4" s="1"/>
  <c r="U91" i="30"/>
  <c r="U130" i="30" s="1"/>
  <c r="U93" i="31"/>
  <c r="U132" i="31" s="1"/>
  <c r="U94" i="29"/>
  <c r="U133" i="29" s="1"/>
  <c r="U76" i="27"/>
  <c r="U115" i="27" s="1"/>
  <c r="U82" i="28"/>
  <c r="U121" i="28" s="1"/>
  <c r="U85" i="24"/>
  <c r="U124" i="24" s="1"/>
  <c r="U70" i="25"/>
  <c r="U109" i="25" s="1"/>
  <c r="U85" i="23"/>
  <c r="U124" i="23" s="1"/>
  <c r="U122" i="28"/>
  <c r="U116" i="27"/>
  <c r="U134" i="29"/>
  <c r="U125" i="23"/>
  <c r="U110" i="25"/>
  <c r="U125" i="24"/>
  <c r="Q19" i="12"/>
  <c r="S19" i="12"/>
  <c r="S26" i="12"/>
  <c r="AY13" i="11"/>
  <c r="AQ13" i="11"/>
  <c r="AG13" i="11"/>
  <c r="Y13" i="11"/>
  <c r="O13" i="11"/>
  <c r="S25" i="12" s="1"/>
  <c r="R25" i="12"/>
  <c r="G13" i="11"/>
  <c r="Q25" i="12" s="1"/>
  <c r="F18" i="12"/>
  <c r="F17" i="12"/>
  <c r="F16" i="12"/>
  <c r="G166" i="30" l="1"/>
  <c r="G247" i="31"/>
  <c r="G168" i="31"/>
  <c r="G244" i="30"/>
  <c r="G147" i="27"/>
  <c r="G170" i="29"/>
  <c r="G223" i="24"/>
  <c r="G249" i="29"/>
  <c r="G157" i="28"/>
  <c r="G218" i="27"/>
  <c r="G142" i="25"/>
  <c r="G233" i="28"/>
  <c r="G215" i="25"/>
  <c r="G154" i="24"/>
  <c r="G222" i="23"/>
  <c r="G154" i="23"/>
  <c r="G167" i="30"/>
  <c r="G248" i="31"/>
  <c r="G245" i="30"/>
  <c r="G169" i="31"/>
  <c r="G224" i="24"/>
  <c r="G148" i="27"/>
  <c r="G171" i="29"/>
  <c r="G250" i="29"/>
  <c r="G158" i="28"/>
  <c r="G219" i="27"/>
  <c r="G143" i="25"/>
  <c r="G234" i="28"/>
  <c r="G216" i="25"/>
  <c r="G155" i="24"/>
  <c r="G155" i="23"/>
  <c r="G223" i="23"/>
  <c r="F249" i="31"/>
  <c r="F168" i="30"/>
  <c r="F170" i="31"/>
  <c r="F246" i="30"/>
  <c r="F235" i="28"/>
  <c r="F225" i="24"/>
  <c r="E212" i="27"/>
  <c r="F212" i="27" s="1"/>
  <c r="F156" i="24"/>
  <c r="F172" i="29"/>
  <c r="E141" i="27"/>
  <c r="F141" i="27" s="1"/>
  <c r="F251" i="29"/>
  <c r="F159" i="28"/>
  <c r="F217" i="25"/>
  <c r="F224" i="23"/>
  <c r="F156" i="23"/>
  <c r="F144" i="25"/>
  <c r="H168" i="30"/>
  <c r="H156" i="23"/>
  <c r="H170" i="31"/>
  <c r="H159" i="28"/>
  <c r="H156" i="24"/>
  <c r="H172" i="29"/>
  <c r="G168" i="30"/>
  <c r="G170" i="31"/>
  <c r="G156" i="24"/>
  <c r="G172" i="29"/>
  <c r="G159" i="28"/>
  <c r="G156" i="23"/>
  <c r="V96" i="31"/>
  <c r="V135" i="31" s="1"/>
  <c r="H154" i="4"/>
  <c r="H175" i="30"/>
  <c r="H177" i="31"/>
  <c r="H151" i="25"/>
  <c r="H179" i="29"/>
  <c r="H163" i="24"/>
  <c r="H156" i="27"/>
  <c r="H163" i="23"/>
  <c r="H166" i="28"/>
  <c r="F222" i="4"/>
  <c r="J222" i="4" s="1"/>
  <c r="G76" i="4" s="1"/>
  <c r="F256" i="31"/>
  <c r="F253" i="30"/>
  <c r="F227" i="27"/>
  <c r="F258" i="29"/>
  <c r="F232" i="24"/>
  <c r="F224" i="25"/>
  <c r="F242" i="28"/>
  <c r="F231" i="23"/>
  <c r="F154" i="4"/>
  <c r="J154" i="4" s="1"/>
  <c r="F76" i="4" s="1"/>
  <c r="F177" i="31"/>
  <c r="F175" i="30"/>
  <c r="F156" i="27"/>
  <c r="F163" i="24"/>
  <c r="F151" i="25"/>
  <c r="F179" i="29"/>
  <c r="F163" i="23"/>
  <c r="F166" i="28"/>
  <c r="H222" i="4"/>
  <c r="H256" i="31"/>
  <c r="H253" i="30"/>
  <c r="H258" i="29"/>
  <c r="H224" i="25"/>
  <c r="H232" i="24"/>
  <c r="H227" i="27"/>
  <c r="H242" i="28"/>
  <c r="H231" i="23"/>
  <c r="V79" i="27"/>
  <c r="V118" i="27" s="1"/>
  <c r="V88" i="23"/>
  <c r="V127" i="23" s="1"/>
  <c r="V79" i="4"/>
  <c r="V118" i="4" s="1"/>
  <c r="V97" i="29"/>
  <c r="V136" i="29" s="1"/>
  <c r="V73" i="25"/>
  <c r="V94" i="30"/>
  <c r="V85" i="28"/>
  <c r="V88" i="24"/>
  <c r="S256" i="30"/>
  <c r="S259" i="31"/>
  <c r="S257" i="30"/>
  <c r="S260" i="31"/>
  <c r="S259" i="29"/>
  <c r="S228" i="25"/>
  <c r="S227" i="25"/>
  <c r="S236" i="24"/>
  <c r="S245" i="28"/>
  <c r="S230" i="27"/>
  <c r="S260" i="29"/>
  <c r="S246" i="28"/>
  <c r="S231" i="27"/>
  <c r="S235" i="23"/>
  <c r="S234" i="23"/>
  <c r="S235" i="24"/>
  <c r="S225" i="4"/>
  <c r="S226" i="4"/>
  <c r="J183" i="4"/>
  <c r="J251" i="4"/>
  <c r="F21" i="12"/>
  <c r="F22" i="12"/>
  <c r="J250" i="4"/>
  <c r="V25" i="12"/>
  <c r="V19" i="12"/>
  <c r="U25" i="12"/>
  <c r="U26" i="12"/>
  <c r="V26" i="12"/>
  <c r="U19" i="12"/>
  <c r="AY63" i="11"/>
  <c r="H209" i="25" s="1"/>
  <c r="AY62" i="11"/>
  <c r="H208" i="25" s="1"/>
  <c r="AY61" i="11"/>
  <c r="H207" i="25" s="1"/>
  <c r="AY60" i="11"/>
  <c r="H206" i="25" s="1"/>
  <c r="H205" i="25" s="1"/>
  <c r="H217" i="25" s="1"/>
  <c r="AU63" i="11"/>
  <c r="G209" i="25" s="1"/>
  <c r="AU62" i="11"/>
  <c r="G208" i="25" s="1"/>
  <c r="AU61" i="11"/>
  <c r="G207" i="25" s="1"/>
  <c r="AU60" i="11"/>
  <c r="G206" i="25" s="1"/>
  <c r="G205" i="25" s="1"/>
  <c r="G217" i="25" s="1"/>
  <c r="AC63" i="11"/>
  <c r="G137" i="25" s="1"/>
  <c r="AC62" i="11"/>
  <c r="G136" i="25" s="1"/>
  <c r="AC61" i="11"/>
  <c r="AC60" i="11"/>
  <c r="G134" i="25" s="1"/>
  <c r="G133" i="25" s="1"/>
  <c r="G144" i="25" s="1"/>
  <c r="AG63" i="11"/>
  <c r="H137" i="25" s="1"/>
  <c r="AG62" i="11"/>
  <c r="H136" i="25" s="1"/>
  <c r="AG61" i="11"/>
  <c r="AG60" i="11"/>
  <c r="H134" i="25" s="1"/>
  <c r="H133" i="25" s="1"/>
  <c r="H144" i="25" s="1"/>
  <c r="O53" i="11"/>
  <c r="O45" i="11"/>
  <c r="O57" i="11"/>
  <c r="O49" i="11"/>
  <c r="O36" i="11"/>
  <c r="O35" i="11"/>
  <c r="O34" i="11"/>
  <c r="O27" i="11"/>
  <c r="O42" i="11"/>
  <c r="O41" i="11"/>
  <c r="O40" i="11"/>
  <c r="O39" i="11"/>
  <c r="S54" i="12" s="1"/>
  <c r="O23" i="11"/>
  <c r="O22" i="11"/>
  <c r="O21" i="11"/>
  <c r="O18" i="11"/>
  <c r="O17" i="11"/>
  <c r="O15" i="11"/>
  <c r="O10" i="11"/>
  <c r="O11" i="11"/>
  <c r="O9" i="11"/>
  <c r="K11" i="11"/>
  <c r="G10" i="11"/>
  <c r="G15" i="11"/>
  <c r="G9" i="11"/>
  <c r="Q8" i="14"/>
  <c r="AY10" i="11" s="1"/>
  <c r="AY11" i="11"/>
  <c r="Q13" i="14"/>
  <c r="AY15" i="11" s="1"/>
  <c r="Q15" i="14"/>
  <c r="AY17" i="11" s="1"/>
  <c r="Q16" i="14"/>
  <c r="AY18" i="11" s="1"/>
  <c r="Q19" i="14"/>
  <c r="AY21" i="11" s="1"/>
  <c r="Q20" i="14"/>
  <c r="AY22" i="11" s="1"/>
  <c r="Q21" i="14"/>
  <c r="AY23" i="11" s="1"/>
  <c r="Q37" i="14"/>
  <c r="AY39" i="11" s="1"/>
  <c r="Q38" i="14"/>
  <c r="AY40" i="11" s="1"/>
  <c r="Q39" i="14"/>
  <c r="AY41" i="11" s="1"/>
  <c r="Q40" i="14"/>
  <c r="AY42" i="11" s="1"/>
  <c r="Q25" i="14"/>
  <c r="AY27" i="11" s="1"/>
  <c r="H272" i="31" s="1"/>
  <c r="Q32" i="14"/>
  <c r="AY34" i="11" s="1"/>
  <c r="Q33" i="14"/>
  <c r="AY35" i="11" s="1"/>
  <c r="Q34" i="14"/>
  <c r="AY36" i="11" s="1"/>
  <c r="Q47" i="14"/>
  <c r="AY49" i="11" s="1"/>
  <c r="Q55" i="14"/>
  <c r="AY57" i="11" s="1"/>
  <c r="Q43" i="14"/>
  <c r="AY45" i="11" s="1"/>
  <c r="Q51" i="14"/>
  <c r="Q7" i="14"/>
  <c r="AY9" i="11" s="1"/>
  <c r="P7" i="14"/>
  <c r="AG9" i="11" s="1"/>
  <c r="P8" i="14"/>
  <c r="AG10" i="11" s="1"/>
  <c r="P13" i="14"/>
  <c r="AG15" i="11" s="1"/>
  <c r="P15" i="14"/>
  <c r="AG17" i="11" s="1"/>
  <c r="P16" i="14"/>
  <c r="AG18" i="11" s="1"/>
  <c r="P19" i="14"/>
  <c r="AG21" i="11" s="1"/>
  <c r="P20" i="14"/>
  <c r="AG22" i="11" s="1"/>
  <c r="P21" i="14"/>
  <c r="AG23" i="11" s="1"/>
  <c r="P37" i="14"/>
  <c r="AG39" i="11" s="1"/>
  <c r="P38" i="14"/>
  <c r="AG40" i="11" s="1"/>
  <c r="P39" i="14"/>
  <c r="AG41" i="11" s="1"/>
  <c r="P40" i="14"/>
  <c r="AG42" i="11" s="1"/>
  <c r="P25" i="14"/>
  <c r="AG27" i="11" s="1"/>
  <c r="H193" i="31" s="1"/>
  <c r="AG34" i="11"/>
  <c r="P33" i="14"/>
  <c r="AG35" i="11" s="1"/>
  <c r="P34" i="14"/>
  <c r="AG36" i="11" s="1"/>
  <c r="P47" i="14"/>
  <c r="AG49" i="11" s="1"/>
  <c r="P55" i="14"/>
  <c r="AG57" i="11" s="1"/>
  <c r="P43" i="14"/>
  <c r="AG45" i="11" s="1"/>
  <c r="P51" i="14"/>
  <c r="AG53" i="11" s="1"/>
  <c r="AU11" i="11"/>
  <c r="I7" i="14"/>
  <c r="AQ9" i="11" s="1"/>
  <c r="I8" i="14"/>
  <c r="AQ10" i="11" s="1"/>
  <c r="I13" i="14"/>
  <c r="AQ15" i="11" s="1"/>
  <c r="H13" i="14"/>
  <c r="Y15" i="11" s="1"/>
  <c r="H8" i="14"/>
  <c r="Y10" i="11" s="1"/>
  <c r="H7" i="14"/>
  <c r="Y9" i="11" s="1"/>
  <c r="O29" i="14"/>
  <c r="P29" i="14" s="1"/>
  <c r="AG31" i="11" s="1"/>
  <c r="J217" i="25" l="1"/>
  <c r="H185" i="30"/>
  <c r="W88" i="24"/>
  <c r="W127" i="24" s="1"/>
  <c r="K154" i="4"/>
  <c r="K156" i="24"/>
  <c r="J156" i="24"/>
  <c r="J156" i="23"/>
  <c r="K156" i="23"/>
  <c r="G212" i="27"/>
  <c r="F220" i="27" s="1"/>
  <c r="F213" i="27"/>
  <c r="K159" i="28"/>
  <c r="J159" i="28"/>
  <c r="J170" i="31"/>
  <c r="K170" i="31"/>
  <c r="G141" i="27"/>
  <c r="F149" i="27" s="1"/>
  <c r="F142" i="27"/>
  <c r="K168" i="30"/>
  <c r="J168" i="30"/>
  <c r="K222" i="4"/>
  <c r="K172" i="29"/>
  <c r="J172" i="29"/>
  <c r="K217" i="25"/>
  <c r="H199" i="30"/>
  <c r="K199" i="30" s="1"/>
  <c r="H201" i="31"/>
  <c r="K201" i="31" s="1"/>
  <c r="H203" i="29"/>
  <c r="K203" i="29" s="1"/>
  <c r="H190" i="28"/>
  <c r="K190" i="28" s="1"/>
  <c r="H180" i="27"/>
  <c r="K180" i="27" s="1"/>
  <c r="H175" i="25"/>
  <c r="K175" i="25" s="1"/>
  <c r="H187" i="24"/>
  <c r="K187" i="24" s="1"/>
  <c r="H187" i="23"/>
  <c r="K187" i="23" s="1"/>
  <c r="K144" i="25"/>
  <c r="J144" i="25"/>
  <c r="K163" i="24"/>
  <c r="J163" i="24"/>
  <c r="F85" i="24" s="1"/>
  <c r="G249" i="31"/>
  <c r="G246" i="30"/>
  <c r="G251" i="29"/>
  <c r="G235" i="28"/>
  <c r="G225" i="24"/>
  <c r="G224" i="23"/>
  <c r="H170" i="4"/>
  <c r="H169" i="4" s="1"/>
  <c r="N84" i="4" s="1"/>
  <c r="N114" i="4" s="1"/>
  <c r="H191" i="30"/>
  <c r="H182" i="28"/>
  <c r="H172" i="27"/>
  <c r="H167" i="25"/>
  <c r="H179" i="24"/>
  <c r="H195" i="29"/>
  <c r="H179" i="23"/>
  <c r="H161" i="4"/>
  <c r="K161" i="4" s="1"/>
  <c r="H182" i="30"/>
  <c r="K182" i="30" s="1"/>
  <c r="H184" i="31"/>
  <c r="K184" i="31" s="1"/>
  <c r="H158" i="25"/>
  <c r="K158" i="25" s="1"/>
  <c r="H170" i="24"/>
  <c r="K170" i="24" s="1"/>
  <c r="H186" i="29"/>
  <c r="K186" i="29" s="1"/>
  <c r="H173" i="28"/>
  <c r="K173" i="28" s="1"/>
  <c r="H163" i="27"/>
  <c r="K163" i="27" s="1"/>
  <c r="H170" i="23"/>
  <c r="K170" i="23" s="1"/>
  <c r="H307" i="31"/>
  <c r="H303" i="30"/>
  <c r="H285" i="31"/>
  <c r="K285" i="31" s="1"/>
  <c r="H282" i="30"/>
  <c r="K282" i="30" s="1"/>
  <c r="H287" i="29"/>
  <c r="K287" i="29" s="1"/>
  <c r="H271" i="28"/>
  <c r="K271" i="28" s="1"/>
  <c r="H256" i="27"/>
  <c r="K256" i="27" s="1"/>
  <c r="H261" i="24"/>
  <c r="K261" i="24" s="1"/>
  <c r="H253" i="25"/>
  <c r="K253" i="25" s="1"/>
  <c r="H260" i="23"/>
  <c r="K260" i="23" s="1"/>
  <c r="H251" i="4"/>
  <c r="H249" i="31"/>
  <c r="H246" i="30"/>
  <c r="H251" i="29"/>
  <c r="H225" i="24"/>
  <c r="H235" i="28"/>
  <c r="H224" i="23"/>
  <c r="G135" i="25"/>
  <c r="K156" i="27"/>
  <c r="J156" i="27"/>
  <c r="F76" i="27" s="1"/>
  <c r="J258" i="29"/>
  <c r="O103" i="29" s="1"/>
  <c r="K258" i="29"/>
  <c r="H287" i="31"/>
  <c r="K287" i="31" s="1"/>
  <c r="H284" i="30"/>
  <c r="K284" i="30" s="1"/>
  <c r="H255" i="25"/>
  <c r="K255" i="25" s="1"/>
  <c r="H289" i="29"/>
  <c r="K289" i="29" s="1"/>
  <c r="H273" i="28"/>
  <c r="K273" i="28" s="1"/>
  <c r="H258" i="27"/>
  <c r="K258" i="27" s="1"/>
  <c r="H263" i="24"/>
  <c r="K263" i="24" s="1"/>
  <c r="H262" i="23"/>
  <c r="K262" i="23" s="1"/>
  <c r="H253" i="4"/>
  <c r="K253" i="4" s="1"/>
  <c r="J232" i="24"/>
  <c r="G85" i="24" s="1"/>
  <c r="K232" i="24"/>
  <c r="H174" i="4"/>
  <c r="N85" i="4" s="1"/>
  <c r="N115" i="4" s="1"/>
  <c r="H197" i="31"/>
  <c r="H195" i="30"/>
  <c r="H171" i="25"/>
  <c r="H183" i="24"/>
  <c r="H199" i="29"/>
  <c r="H186" i="28"/>
  <c r="H176" i="27"/>
  <c r="H183" i="23"/>
  <c r="H221" i="30"/>
  <c r="H224" i="31"/>
  <c r="H208" i="31"/>
  <c r="K208" i="31" s="1"/>
  <c r="H206" i="30"/>
  <c r="K206" i="30" s="1"/>
  <c r="H194" i="24"/>
  <c r="K194" i="24" s="1"/>
  <c r="H197" i="28"/>
  <c r="K197" i="28" s="1"/>
  <c r="H187" i="27"/>
  <c r="K187" i="27" s="1"/>
  <c r="H182" i="25"/>
  <c r="K182" i="25" s="1"/>
  <c r="H210" i="29"/>
  <c r="K210" i="29" s="1"/>
  <c r="H194" i="23"/>
  <c r="K194" i="23" s="1"/>
  <c r="H185" i="4"/>
  <c r="K185" i="4" s="1"/>
  <c r="H160" i="4"/>
  <c r="K160" i="4" s="1"/>
  <c r="H181" i="30"/>
  <c r="H183" i="31"/>
  <c r="H172" i="28"/>
  <c r="H162" i="27"/>
  <c r="H157" i="25"/>
  <c r="H169" i="24"/>
  <c r="H185" i="29"/>
  <c r="H169" i="23"/>
  <c r="H260" i="4"/>
  <c r="K260" i="4" s="1"/>
  <c r="H299" i="31"/>
  <c r="H295" i="30"/>
  <c r="H270" i="24"/>
  <c r="H262" i="25"/>
  <c r="H300" i="29"/>
  <c r="H280" i="28"/>
  <c r="H265" i="27"/>
  <c r="H269" i="23"/>
  <c r="H281" i="30"/>
  <c r="H284" i="31"/>
  <c r="H252" i="25"/>
  <c r="H260" i="24"/>
  <c r="H286" i="29"/>
  <c r="H270" i="28"/>
  <c r="H255" i="27"/>
  <c r="H259" i="23"/>
  <c r="H250" i="4"/>
  <c r="K250" i="4" s="1"/>
  <c r="H245" i="30"/>
  <c r="H248" i="31"/>
  <c r="H219" i="27"/>
  <c r="H250" i="29"/>
  <c r="H216" i="25"/>
  <c r="H224" i="24"/>
  <c r="H234" i="28"/>
  <c r="H223" i="23"/>
  <c r="J175" i="30"/>
  <c r="N100" i="30" s="1"/>
  <c r="K175" i="30"/>
  <c r="J227" i="27"/>
  <c r="G76" i="27" s="1"/>
  <c r="K227" i="27"/>
  <c r="K151" i="25"/>
  <c r="J151" i="25"/>
  <c r="F70" i="25" s="1"/>
  <c r="H256" i="4"/>
  <c r="O88" i="4" s="1"/>
  <c r="H291" i="30"/>
  <c r="H295" i="31"/>
  <c r="H258" i="25"/>
  <c r="H296" i="29"/>
  <c r="H276" i="28"/>
  <c r="H261" i="27"/>
  <c r="H266" i="24"/>
  <c r="H265" i="23"/>
  <c r="H186" i="30"/>
  <c r="H190" i="29"/>
  <c r="K190" i="29" s="1"/>
  <c r="H205" i="30"/>
  <c r="K205" i="30" s="1"/>
  <c r="H207" i="31"/>
  <c r="K207" i="31" s="1"/>
  <c r="H181" i="25"/>
  <c r="K181" i="25" s="1"/>
  <c r="H193" i="24"/>
  <c r="K193" i="24" s="1"/>
  <c r="H186" i="27"/>
  <c r="K186" i="27" s="1"/>
  <c r="H209" i="29"/>
  <c r="K209" i="29" s="1"/>
  <c r="H196" i="28"/>
  <c r="K196" i="28" s="1"/>
  <c r="H193" i="23"/>
  <c r="K193" i="23" s="1"/>
  <c r="H184" i="4"/>
  <c r="K184" i="4" s="1"/>
  <c r="H270" i="29"/>
  <c r="K270" i="29" s="1"/>
  <c r="H265" i="30"/>
  <c r="K265" i="30" s="1"/>
  <c r="K268" i="31"/>
  <c r="J253" i="30"/>
  <c r="O100" i="30" s="1"/>
  <c r="K253" i="30"/>
  <c r="K166" i="28"/>
  <c r="J166" i="28"/>
  <c r="F82" i="28" s="1"/>
  <c r="K256" i="31"/>
  <c r="J256" i="31"/>
  <c r="O102" i="31" s="1"/>
  <c r="F248" i="31"/>
  <c r="F245" i="30"/>
  <c r="F224" i="24"/>
  <c r="F216" i="25"/>
  <c r="F250" i="29"/>
  <c r="F219" i="27"/>
  <c r="F234" i="28"/>
  <c r="F223" i="23"/>
  <c r="H200" i="31"/>
  <c r="H198" i="30"/>
  <c r="H186" i="24"/>
  <c r="K186" i="24" s="1"/>
  <c r="H189" i="28"/>
  <c r="K189" i="28" s="1"/>
  <c r="H179" i="27"/>
  <c r="K179" i="27" s="1"/>
  <c r="H174" i="25"/>
  <c r="K174" i="25" s="1"/>
  <c r="K202" i="29"/>
  <c r="H186" i="23"/>
  <c r="K186" i="23" s="1"/>
  <c r="H283" i="30"/>
  <c r="K283" i="30" s="1"/>
  <c r="H286" i="31"/>
  <c r="K286" i="31" s="1"/>
  <c r="H272" i="28"/>
  <c r="K272" i="28" s="1"/>
  <c r="H288" i="29"/>
  <c r="K288" i="29" s="1"/>
  <c r="H254" i="25"/>
  <c r="K254" i="25" s="1"/>
  <c r="H257" i="27"/>
  <c r="K257" i="27" s="1"/>
  <c r="H262" i="24"/>
  <c r="K262" i="24" s="1"/>
  <c r="H261" i="23"/>
  <c r="K261" i="23" s="1"/>
  <c r="H252" i="4"/>
  <c r="K252" i="4" s="1"/>
  <c r="H188" i="4"/>
  <c r="K188" i="4" s="1"/>
  <c r="H216" i="31"/>
  <c r="H213" i="30"/>
  <c r="H190" i="27"/>
  <c r="H200" i="28"/>
  <c r="H197" i="24"/>
  <c r="H217" i="29"/>
  <c r="H185" i="25"/>
  <c r="H197" i="23"/>
  <c r="H179" i="30"/>
  <c r="H181" i="31"/>
  <c r="H178" i="30"/>
  <c r="H180" i="31"/>
  <c r="H169" i="28"/>
  <c r="H159" i="27"/>
  <c r="H170" i="28"/>
  <c r="H160" i="27"/>
  <c r="H154" i="25"/>
  <c r="H182" i="29"/>
  <c r="H155" i="25"/>
  <c r="H167" i="24"/>
  <c r="H183" i="29"/>
  <c r="H167" i="23"/>
  <c r="H166" i="23"/>
  <c r="H166" i="24"/>
  <c r="H281" i="31"/>
  <c r="K281" i="31" s="1"/>
  <c r="H278" i="30"/>
  <c r="K278" i="30" s="1"/>
  <c r="H283" i="29"/>
  <c r="J177" i="31"/>
  <c r="N102" i="31" s="1"/>
  <c r="K177" i="31"/>
  <c r="H263" i="30"/>
  <c r="K263" i="30" s="1"/>
  <c r="H268" i="29"/>
  <c r="H135" i="25"/>
  <c r="K163" i="23"/>
  <c r="J163" i="23"/>
  <c r="F85" i="23" s="1"/>
  <c r="J231" i="23"/>
  <c r="G85" i="23" s="1"/>
  <c r="K231" i="23"/>
  <c r="H228" i="4"/>
  <c r="K228" i="4" s="1"/>
  <c r="H262" i="31"/>
  <c r="H259" i="30"/>
  <c r="H248" i="28"/>
  <c r="H233" i="27"/>
  <c r="H238" i="24"/>
  <c r="H264" i="29"/>
  <c r="H230" i="25"/>
  <c r="H237" i="23"/>
  <c r="K224" i="25"/>
  <c r="J224" i="25"/>
  <c r="G70" i="25" s="1"/>
  <c r="F247" i="31"/>
  <c r="F244" i="30"/>
  <c r="F233" i="28"/>
  <c r="F215" i="25"/>
  <c r="F249" i="29"/>
  <c r="F223" i="24"/>
  <c r="F218" i="27"/>
  <c r="F222" i="23"/>
  <c r="K185" i="30"/>
  <c r="K187" i="31"/>
  <c r="H189" i="29"/>
  <c r="H259" i="31"/>
  <c r="H256" i="30"/>
  <c r="H260" i="31"/>
  <c r="H257" i="30"/>
  <c r="H230" i="27"/>
  <c r="H261" i="29"/>
  <c r="H231" i="27"/>
  <c r="H227" i="25"/>
  <c r="H236" i="24"/>
  <c r="H246" i="28"/>
  <c r="H262" i="29"/>
  <c r="H245" i="28"/>
  <c r="H228" i="25"/>
  <c r="H235" i="23"/>
  <c r="H234" i="23"/>
  <c r="H235" i="24"/>
  <c r="F166" i="30"/>
  <c r="F168" i="31"/>
  <c r="F170" i="29"/>
  <c r="F147" i="27"/>
  <c r="F157" i="28"/>
  <c r="F142" i="25"/>
  <c r="F154" i="24"/>
  <c r="F154" i="23"/>
  <c r="F169" i="31"/>
  <c r="F167" i="30"/>
  <c r="F148" i="27"/>
  <c r="F143" i="25"/>
  <c r="F155" i="24"/>
  <c r="F158" i="28"/>
  <c r="F171" i="29"/>
  <c r="F155" i="23"/>
  <c r="H228" i="31"/>
  <c r="H225" i="30"/>
  <c r="H206" i="31"/>
  <c r="K206" i="31" s="1"/>
  <c r="H204" i="30"/>
  <c r="K204" i="30" s="1"/>
  <c r="H208" i="29"/>
  <c r="K208" i="29" s="1"/>
  <c r="H195" i="28"/>
  <c r="K195" i="28" s="1"/>
  <c r="H185" i="27"/>
  <c r="K185" i="27" s="1"/>
  <c r="H180" i="25"/>
  <c r="K180" i="25" s="1"/>
  <c r="H192" i="24"/>
  <c r="K192" i="24" s="1"/>
  <c r="H192" i="23"/>
  <c r="K192" i="23" s="1"/>
  <c r="H183" i="4"/>
  <c r="K183" i="4" s="1"/>
  <c r="H169" i="31"/>
  <c r="H167" i="30"/>
  <c r="H148" i="27"/>
  <c r="H155" i="24"/>
  <c r="H158" i="28"/>
  <c r="H171" i="29"/>
  <c r="H143" i="25"/>
  <c r="H155" i="23"/>
  <c r="H246" i="4"/>
  <c r="K246" i="4" s="1"/>
  <c r="H277" i="30"/>
  <c r="K277" i="30" s="1"/>
  <c r="H280" i="31"/>
  <c r="K280" i="31" s="1"/>
  <c r="H282" i="29"/>
  <c r="K282" i="29" s="1"/>
  <c r="H266" i="28"/>
  <c r="K266" i="28" s="1"/>
  <c r="H251" i="27"/>
  <c r="K251" i="27" s="1"/>
  <c r="H248" i="25"/>
  <c r="K248" i="25" s="1"/>
  <c r="H256" i="24"/>
  <c r="K256" i="24" s="1"/>
  <c r="H255" i="23"/>
  <c r="K255" i="23" s="1"/>
  <c r="K267" i="31"/>
  <c r="H264" i="30"/>
  <c r="H269" i="29"/>
  <c r="K269" i="29" s="1"/>
  <c r="F179" i="30"/>
  <c r="F181" i="31"/>
  <c r="F180" i="31"/>
  <c r="F178" i="30"/>
  <c r="F155" i="25"/>
  <c r="F167" i="24"/>
  <c r="F183" i="29"/>
  <c r="F169" i="28"/>
  <c r="F159" i="27"/>
  <c r="F154" i="25"/>
  <c r="F182" i="29"/>
  <c r="F170" i="28"/>
  <c r="F160" i="27"/>
  <c r="F167" i="23"/>
  <c r="F166" i="23"/>
  <c r="F166" i="24"/>
  <c r="H220" i="31"/>
  <c r="H217" i="30"/>
  <c r="H221" i="29"/>
  <c r="H189" i="25"/>
  <c r="H201" i="24"/>
  <c r="H204" i="28"/>
  <c r="H194" i="27"/>
  <c r="H201" i="23"/>
  <c r="H205" i="31"/>
  <c r="H203" i="30"/>
  <c r="H179" i="25"/>
  <c r="H191" i="24"/>
  <c r="H207" i="29"/>
  <c r="H194" i="28"/>
  <c r="H184" i="27"/>
  <c r="H191" i="23"/>
  <c r="H182" i="4"/>
  <c r="H166" i="30"/>
  <c r="H168" i="31"/>
  <c r="H170" i="29"/>
  <c r="H157" i="28"/>
  <c r="H142" i="25"/>
  <c r="H154" i="24"/>
  <c r="H147" i="27"/>
  <c r="H154" i="23"/>
  <c r="H245" i="4"/>
  <c r="H279" i="31"/>
  <c r="H276" i="30"/>
  <c r="H247" i="25"/>
  <c r="K247" i="25" s="1"/>
  <c r="H255" i="24"/>
  <c r="K255" i="24" s="1"/>
  <c r="H250" i="27"/>
  <c r="K250" i="27" s="1"/>
  <c r="H265" i="28"/>
  <c r="K265" i="28" s="1"/>
  <c r="K281" i="29"/>
  <c r="H254" i="23"/>
  <c r="K254" i="23" s="1"/>
  <c r="F260" i="31"/>
  <c r="F257" i="30"/>
  <c r="F259" i="31"/>
  <c r="F256" i="30"/>
  <c r="F262" i="29"/>
  <c r="F245" i="28"/>
  <c r="F228" i="25"/>
  <c r="F230" i="27"/>
  <c r="F261" i="29"/>
  <c r="F227" i="25"/>
  <c r="F236" i="24"/>
  <c r="F246" i="28"/>
  <c r="F231" i="27"/>
  <c r="F234" i="23"/>
  <c r="F235" i="23"/>
  <c r="F235" i="24"/>
  <c r="H202" i="31"/>
  <c r="K202" i="31" s="1"/>
  <c r="H200" i="30"/>
  <c r="K200" i="30" s="1"/>
  <c r="H204" i="29"/>
  <c r="H191" i="29"/>
  <c r="K191" i="29" s="1"/>
  <c r="K189" i="31"/>
  <c r="H187" i="30"/>
  <c r="K187" i="30" s="1"/>
  <c r="H247" i="31"/>
  <c r="H244" i="30"/>
  <c r="H233" i="28"/>
  <c r="H218" i="27"/>
  <c r="H223" i="24"/>
  <c r="H249" i="29"/>
  <c r="H215" i="25"/>
  <c r="H222" i="23"/>
  <c r="H238" i="4"/>
  <c r="H237" i="4" s="1"/>
  <c r="H269" i="30"/>
  <c r="H240" i="25"/>
  <c r="H258" i="28"/>
  <c r="H243" i="27"/>
  <c r="H248" i="24"/>
  <c r="H274" i="29"/>
  <c r="H247" i="23"/>
  <c r="H229" i="4"/>
  <c r="K229" i="4" s="1"/>
  <c r="H260" i="30"/>
  <c r="K260" i="30" s="1"/>
  <c r="H263" i="31"/>
  <c r="K263" i="31" s="1"/>
  <c r="H265" i="29"/>
  <c r="K265" i="29" s="1"/>
  <c r="H231" i="25"/>
  <c r="K231" i="25" s="1"/>
  <c r="H239" i="24"/>
  <c r="K239" i="24" s="1"/>
  <c r="H249" i="28"/>
  <c r="K249" i="28" s="1"/>
  <c r="H234" i="27"/>
  <c r="K234" i="27" s="1"/>
  <c r="H238" i="23"/>
  <c r="K238" i="23" s="1"/>
  <c r="K179" i="29"/>
  <c r="J179" i="29"/>
  <c r="N103" i="29" s="1"/>
  <c r="J242" i="28"/>
  <c r="G82" i="28" s="1"/>
  <c r="K242" i="28"/>
  <c r="W88" i="23"/>
  <c r="W79" i="4"/>
  <c r="W118" i="4" s="1"/>
  <c r="W85" i="28"/>
  <c r="W124" i="28" s="1"/>
  <c r="W94" i="30"/>
  <c r="W133" i="30" s="1"/>
  <c r="W97" i="29"/>
  <c r="W79" i="27"/>
  <c r="W118" i="27" s="1"/>
  <c r="W96" i="31"/>
  <c r="W135" i="31" s="1"/>
  <c r="W73" i="25"/>
  <c r="V124" i="28"/>
  <c r="V133" i="30"/>
  <c r="V127" i="24"/>
  <c r="V112" i="25"/>
  <c r="M99" i="30"/>
  <c r="M101" i="31"/>
  <c r="AB16" i="12"/>
  <c r="U73" i="4" s="1"/>
  <c r="F252" i="31"/>
  <c r="G173" i="31"/>
  <c r="F249" i="30"/>
  <c r="F173" i="31"/>
  <c r="H171" i="30"/>
  <c r="G252" i="31"/>
  <c r="G249" i="30"/>
  <c r="G171" i="30"/>
  <c r="H173" i="31"/>
  <c r="H252" i="31"/>
  <c r="H249" i="30"/>
  <c r="F171" i="30"/>
  <c r="F152" i="27"/>
  <c r="H220" i="25"/>
  <c r="E223" i="28"/>
  <c r="F223" i="28" s="1"/>
  <c r="G220" i="25"/>
  <c r="H254" i="29"/>
  <c r="H175" i="29"/>
  <c r="F220" i="25"/>
  <c r="H147" i="25"/>
  <c r="H159" i="24"/>
  <c r="H152" i="27"/>
  <c r="G254" i="29"/>
  <c r="G175" i="29"/>
  <c r="H223" i="27"/>
  <c r="G147" i="25"/>
  <c r="G159" i="24"/>
  <c r="F228" i="24"/>
  <c r="F254" i="29"/>
  <c r="F175" i="29"/>
  <c r="G223" i="27"/>
  <c r="F147" i="25"/>
  <c r="H228" i="24"/>
  <c r="F159" i="24"/>
  <c r="E148" i="28"/>
  <c r="F148" i="28" s="1"/>
  <c r="F223" i="27"/>
  <c r="G228" i="24"/>
  <c r="G152" i="27"/>
  <c r="H227" i="23"/>
  <c r="F159" i="23"/>
  <c r="G227" i="23"/>
  <c r="G159" i="23"/>
  <c r="F227" i="23"/>
  <c r="H159" i="23"/>
  <c r="H172" i="30"/>
  <c r="H253" i="31"/>
  <c r="G172" i="30"/>
  <c r="G253" i="31"/>
  <c r="H250" i="30"/>
  <c r="F172" i="30"/>
  <c r="F253" i="31"/>
  <c r="H174" i="31"/>
  <c r="G250" i="30"/>
  <c r="G174" i="31"/>
  <c r="F250" i="30"/>
  <c r="F174" i="31"/>
  <c r="F255" i="29"/>
  <c r="F176" i="29"/>
  <c r="E224" i="28"/>
  <c r="F224" i="28" s="1"/>
  <c r="G224" i="27"/>
  <c r="F148" i="25"/>
  <c r="H229" i="24"/>
  <c r="F160" i="24"/>
  <c r="H148" i="25"/>
  <c r="G148" i="25"/>
  <c r="F224" i="27"/>
  <c r="G229" i="24"/>
  <c r="H153" i="27"/>
  <c r="F229" i="24"/>
  <c r="H255" i="29"/>
  <c r="G153" i="27"/>
  <c r="H160" i="24"/>
  <c r="H224" i="27"/>
  <c r="G160" i="24"/>
  <c r="F153" i="27"/>
  <c r="H221" i="25"/>
  <c r="F221" i="25"/>
  <c r="G221" i="25"/>
  <c r="H176" i="29"/>
  <c r="E149" i="28"/>
  <c r="F149" i="28" s="1"/>
  <c r="G255" i="29"/>
  <c r="G176" i="29"/>
  <c r="H160" i="23"/>
  <c r="G160" i="23"/>
  <c r="H228" i="23"/>
  <c r="F160" i="23"/>
  <c r="G228" i="23"/>
  <c r="F228" i="23"/>
  <c r="M103" i="31"/>
  <c r="M101" i="30"/>
  <c r="E77" i="27"/>
  <c r="E86" i="24"/>
  <c r="E83" i="28"/>
  <c r="E71" i="25"/>
  <c r="M104" i="29"/>
  <c r="E86" i="23"/>
  <c r="M102" i="31"/>
  <c r="M100" i="30"/>
  <c r="E85" i="24"/>
  <c r="M103" i="29"/>
  <c r="E70" i="25"/>
  <c r="E76" i="27"/>
  <c r="E82" i="28"/>
  <c r="E85" i="23"/>
  <c r="H233" i="4"/>
  <c r="K233" i="4" s="1"/>
  <c r="H235" i="25"/>
  <c r="K235" i="25" s="1"/>
  <c r="H243" i="24"/>
  <c r="K243" i="24" s="1"/>
  <c r="H238" i="27"/>
  <c r="K238" i="27" s="1"/>
  <c r="H253" i="28"/>
  <c r="K253" i="28" s="1"/>
  <c r="H242" i="23"/>
  <c r="K242" i="23" s="1"/>
  <c r="H166" i="4"/>
  <c r="K166" i="4" s="1"/>
  <c r="H163" i="25"/>
  <c r="K163" i="25" s="1"/>
  <c r="H168" i="27"/>
  <c r="K168" i="27" s="1"/>
  <c r="H175" i="24"/>
  <c r="K175" i="24" s="1"/>
  <c r="H178" i="28"/>
  <c r="K178" i="28" s="1"/>
  <c r="H175" i="23"/>
  <c r="K175" i="23" s="1"/>
  <c r="H232" i="4"/>
  <c r="K232" i="4" s="1"/>
  <c r="H252" i="28"/>
  <c r="H234" i="25"/>
  <c r="H242" i="24"/>
  <c r="H237" i="27"/>
  <c r="H241" i="23"/>
  <c r="H166" i="27"/>
  <c r="H173" i="24"/>
  <c r="H176" i="28"/>
  <c r="H161" i="25"/>
  <c r="H173" i="23"/>
  <c r="H164" i="4"/>
  <c r="K164" i="4" s="1"/>
  <c r="H165" i="4"/>
  <c r="K165" i="4" s="1"/>
  <c r="H174" i="24"/>
  <c r="K174" i="24" s="1"/>
  <c r="H177" i="28"/>
  <c r="K177" i="28" s="1"/>
  <c r="H162" i="25"/>
  <c r="K162" i="25" s="1"/>
  <c r="H167" i="27"/>
  <c r="K167" i="27" s="1"/>
  <c r="H174" i="23"/>
  <c r="K174" i="23" s="1"/>
  <c r="H234" i="4"/>
  <c r="K234" i="4" s="1"/>
  <c r="H239" i="27"/>
  <c r="K239" i="27" s="1"/>
  <c r="H254" i="28"/>
  <c r="K254" i="28" s="1"/>
  <c r="H236" i="25"/>
  <c r="K236" i="25" s="1"/>
  <c r="H244" i="24"/>
  <c r="K244" i="24" s="1"/>
  <c r="H243" i="23"/>
  <c r="K243" i="23" s="1"/>
  <c r="H200" i="4"/>
  <c r="K200" i="4" s="1"/>
  <c r="H202" i="27"/>
  <c r="H229" i="29"/>
  <c r="H212" i="28"/>
  <c r="H197" i="25"/>
  <c r="H209" i="24"/>
  <c r="H209" i="23"/>
  <c r="H268" i="4"/>
  <c r="O91" i="4" s="1"/>
  <c r="O121" i="4" s="1"/>
  <c r="H308" i="29"/>
  <c r="H273" i="27"/>
  <c r="H270" i="25"/>
  <c r="H288" i="28"/>
  <c r="H278" i="24"/>
  <c r="H277" i="23"/>
  <c r="H196" i="4"/>
  <c r="H195" i="4" s="1"/>
  <c r="N90" i="4" s="1"/>
  <c r="H193" i="25"/>
  <c r="H208" i="28"/>
  <c r="H198" i="27"/>
  <c r="H205" i="24"/>
  <c r="H225" i="29"/>
  <c r="H205" i="23"/>
  <c r="H176" i="25"/>
  <c r="H188" i="24"/>
  <c r="H181" i="27"/>
  <c r="H191" i="28"/>
  <c r="H188" i="23"/>
  <c r="H247" i="4"/>
  <c r="K247" i="4" s="1"/>
  <c r="H252" i="27"/>
  <c r="H249" i="25"/>
  <c r="H257" i="24"/>
  <c r="H267" i="28"/>
  <c r="H256" i="23"/>
  <c r="M102" i="29"/>
  <c r="E75" i="27"/>
  <c r="E81" i="28"/>
  <c r="E75" i="4"/>
  <c r="E114" i="4" s="1"/>
  <c r="E84" i="24"/>
  <c r="E69" i="25"/>
  <c r="E84" i="23"/>
  <c r="N91" i="4"/>
  <c r="N121" i="4" s="1"/>
  <c r="J182" i="4"/>
  <c r="AY53" i="11"/>
  <c r="H219" i="4"/>
  <c r="F151" i="4"/>
  <c r="Q22" i="12"/>
  <c r="H151" i="4"/>
  <c r="F219" i="4"/>
  <c r="S22" i="12"/>
  <c r="F218" i="4"/>
  <c r="Q21" i="12"/>
  <c r="H150" i="4"/>
  <c r="H218" i="4"/>
  <c r="R22" i="12"/>
  <c r="J242" i="4"/>
  <c r="J174" i="4"/>
  <c r="G219" i="4"/>
  <c r="G151" i="4"/>
  <c r="R21" i="12"/>
  <c r="G218" i="4"/>
  <c r="G150" i="4"/>
  <c r="AB17" i="12"/>
  <c r="H179" i="4"/>
  <c r="K179" i="4" s="1"/>
  <c r="H178" i="4"/>
  <c r="K178" i="4" s="1"/>
  <c r="H177" i="4"/>
  <c r="H226" i="4"/>
  <c r="H225" i="4"/>
  <c r="H157" i="4"/>
  <c r="H158" i="4"/>
  <c r="F150" i="4"/>
  <c r="F226" i="4"/>
  <c r="F225" i="4"/>
  <c r="F157" i="4"/>
  <c r="F158" i="4"/>
  <c r="K187" i="4"/>
  <c r="H192" i="4"/>
  <c r="H190" i="4" s="1"/>
  <c r="N89" i="4" s="1"/>
  <c r="G116" i="4"/>
  <c r="F116" i="4"/>
  <c r="E77" i="4"/>
  <c r="E116" i="4" s="1"/>
  <c r="G115" i="4"/>
  <c r="E76" i="4"/>
  <c r="E115" i="4" s="1"/>
  <c r="F115" i="4"/>
  <c r="S16" i="12"/>
  <c r="S21" i="12"/>
  <c r="O31" i="11"/>
  <c r="Q29" i="14"/>
  <c r="AY31" i="11" s="1"/>
  <c r="N88" i="4" l="1"/>
  <c r="H159" i="4"/>
  <c r="K159" i="4" s="1"/>
  <c r="G149" i="27"/>
  <c r="J149" i="27" s="1"/>
  <c r="H149" i="27"/>
  <c r="W127" i="23"/>
  <c r="H220" i="27"/>
  <c r="G220" i="27"/>
  <c r="H244" i="4"/>
  <c r="K244" i="4" s="1"/>
  <c r="H181" i="4"/>
  <c r="N87" i="4" s="1"/>
  <c r="N117" i="4" s="1"/>
  <c r="K169" i="4"/>
  <c r="K170" i="4"/>
  <c r="K245" i="4"/>
  <c r="K238" i="4"/>
  <c r="K195" i="4"/>
  <c r="K182" i="4"/>
  <c r="K196" i="4"/>
  <c r="H249" i="4"/>
  <c r="K249" i="4" s="1"/>
  <c r="H231" i="4"/>
  <c r="O83" i="4" s="1"/>
  <c r="O113" i="4" s="1"/>
  <c r="H268" i="30"/>
  <c r="K269" i="30"/>
  <c r="F98" i="30"/>
  <c r="N137" i="30" s="1"/>
  <c r="K225" i="30"/>
  <c r="K272" i="31"/>
  <c r="H271" i="31"/>
  <c r="K235" i="24"/>
  <c r="J235" i="24"/>
  <c r="J230" i="27"/>
  <c r="K230" i="27"/>
  <c r="K203" i="30"/>
  <c r="H202" i="30"/>
  <c r="K217" i="30"/>
  <c r="H215" i="30"/>
  <c r="K154" i="25"/>
  <c r="J154" i="25"/>
  <c r="J181" i="31"/>
  <c r="K181" i="31"/>
  <c r="F100" i="31"/>
  <c r="N139" i="31" s="1"/>
  <c r="K228" i="31"/>
  <c r="J169" i="31"/>
  <c r="K169" i="31"/>
  <c r="J168" i="31"/>
  <c r="K168" i="31"/>
  <c r="K249" i="29"/>
  <c r="J249" i="29"/>
  <c r="K230" i="25"/>
  <c r="H229" i="25"/>
  <c r="H265" i="31"/>
  <c r="K266" i="31"/>
  <c r="K217" i="29"/>
  <c r="F98" i="29"/>
  <c r="H199" i="31"/>
  <c r="K200" i="31"/>
  <c r="K248" i="31"/>
  <c r="J248" i="31"/>
  <c r="K266" i="24"/>
  <c r="O97" i="24"/>
  <c r="H254" i="27"/>
  <c r="K255" i="27"/>
  <c r="H263" i="27"/>
  <c r="K265" i="27"/>
  <c r="K169" i="23"/>
  <c r="H168" i="23"/>
  <c r="F94" i="29"/>
  <c r="N133" i="29" s="1"/>
  <c r="K199" i="29"/>
  <c r="G98" i="30"/>
  <c r="O137" i="30" s="1"/>
  <c r="K303" i="30"/>
  <c r="H181" i="28"/>
  <c r="K182" i="28"/>
  <c r="K251" i="29"/>
  <c r="J251" i="29"/>
  <c r="J260" i="31"/>
  <c r="K260" i="31"/>
  <c r="J180" i="31"/>
  <c r="K180" i="31"/>
  <c r="K269" i="23"/>
  <c r="H267" i="23"/>
  <c r="K251" i="4"/>
  <c r="K256" i="4"/>
  <c r="H246" i="23"/>
  <c r="K247" i="23"/>
  <c r="K235" i="23"/>
  <c r="J235" i="23"/>
  <c r="J228" i="25"/>
  <c r="K228" i="25"/>
  <c r="H204" i="31"/>
  <c r="K205" i="31"/>
  <c r="K220" i="31"/>
  <c r="H218" i="31"/>
  <c r="K159" i="27"/>
  <c r="J159" i="27"/>
  <c r="K179" i="30"/>
  <c r="J179" i="30"/>
  <c r="J155" i="23"/>
  <c r="K155" i="23"/>
  <c r="K154" i="23"/>
  <c r="J154" i="23"/>
  <c r="K166" i="30"/>
  <c r="J166" i="30"/>
  <c r="K215" i="25"/>
  <c r="J215" i="25"/>
  <c r="H263" i="29"/>
  <c r="K264" i="29"/>
  <c r="K197" i="24"/>
  <c r="N97" i="24"/>
  <c r="K223" i="23"/>
  <c r="J223" i="23"/>
  <c r="O88" i="27"/>
  <c r="K261" i="27"/>
  <c r="H269" i="28"/>
  <c r="K270" i="28"/>
  <c r="K280" i="28"/>
  <c r="H278" i="28"/>
  <c r="H184" i="29"/>
  <c r="K185" i="29"/>
  <c r="N94" i="24"/>
  <c r="N124" i="24" s="1"/>
  <c r="K183" i="24"/>
  <c r="K307" i="31"/>
  <c r="G100" i="31"/>
  <c r="O139" i="31" s="1"/>
  <c r="K193" i="31"/>
  <c r="H192" i="31"/>
  <c r="K246" i="30"/>
  <c r="J246" i="30"/>
  <c r="K261" i="29"/>
  <c r="J261" i="29"/>
  <c r="K223" i="24"/>
  <c r="J223" i="24"/>
  <c r="K253" i="31"/>
  <c r="H273" i="29"/>
  <c r="K274" i="29"/>
  <c r="J234" i="23"/>
  <c r="G87" i="23" s="1"/>
  <c r="G126" i="23" s="1"/>
  <c r="K234" i="23"/>
  <c r="K245" i="28"/>
  <c r="J245" i="28"/>
  <c r="H190" i="23"/>
  <c r="K191" i="23"/>
  <c r="K201" i="23"/>
  <c r="H199" i="23"/>
  <c r="K166" i="24"/>
  <c r="J166" i="24"/>
  <c r="K169" i="28"/>
  <c r="J169" i="28"/>
  <c r="K171" i="29"/>
  <c r="J171" i="29"/>
  <c r="K154" i="24"/>
  <c r="J154" i="24"/>
  <c r="K233" i="28"/>
  <c r="J233" i="28"/>
  <c r="H237" i="24"/>
  <c r="K238" i="24"/>
  <c r="N94" i="28"/>
  <c r="K200" i="28"/>
  <c r="K234" i="28"/>
  <c r="J234" i="28"/>
  <c r="O94" i="28"/>
  <c r="K276" i="28"/>
  <c r="H285" i="29"/>
  <c r="K286" i="29"/>
  <c r="K300" i="29"/>
  <c r="H298" i="29"/>
  <c r="K169" i="24"/>
  <c r="H168" i="24"/>
  <c r="N79" i="25"/>
  <c r="N109" i="25" s="1"/>
  <c r="K171" i="25"/>
  <c r="K191" i="30"/>
  <c r="H190" i="30"/>
  <c r="J249" i="31"/>
  <c r="K249" i="31"/>
  <c r="K221" i="29"/>
  <c r="H219" i="29"/>
  <c r="O97" i="23"/>
  <c r="K265" i="23"/>
  <c r="H180" i="30"/>
  <c r="K181" i="30"/>
  <c r="K172" i="27"/>
  <c r="H171" i="27"/>
  <c r="H258" i="4"/>
  <c r="K258" i="4" s="1"/>
  <c r="H247" i="24"/>
  <c r="K248" i="24"/>
  <c r="K231" i="27"/>
  <c r="J231" i="27"/>
  <c r="J262" i="29"/>
  <c r="K262" i="29"/>
  <c r="H183" i="27"/>
  <c r="K184" i="27"/>
  <c r="K194" i="27"/>
  <c r="H192" i="27"/>
  <c r="K166" i="23"/>
  <c r="J166" i="23"/>
  <c r="K183" i="29"/>
  <c r="J183" i="29"/>
  <c r="H262" i="30"/>
  <c r="K264" i="30"/>
  <c r="J158" i="28"/>
  <c r="K158" i="28"/>
  <c r="J142" i="25"/>
  <c r="K142" i="25"/>
  <c r="J244" i="30"/>
  <c r="K244" i="30"/>
  <c r="H232" i="27"/>
  <c r="K233" i="27"/>
  <c r="K190" i="27"/>
  <c r="N88" i="27"/>
  <c r="K219" i="27"/>
  <c r="J219" i="27"/>
  <c r="G98" i="29"/>
  <c r="K296" i="29"/>
  <c r="K260" i="24"/>
  <c r="H259" i="24"/>
  <c r="H260" i="25"/>
  <c r="K262" i="25"/>
  <c r="K157" i="25"/>
  <c r="H156" i="25"/>
  <c r="K224" i="31"/>
  <c r="H223" i="31"/>
  <c r="K195" i="30"/>
  <c r="F91" i="30"/>
  <c r="N130" i="30" s="1"/>
  <c r="H178" i="23"/>
  <c r="K179" i="23"/>
  <c r="K198" i="30"/>
  <c r="H197" i="30"/>
  <c r="N91" i="28"/>
  <c r="N121" i="28" s="1"/>
  <c r="K186" i="28"/>
  <c r="H242" i="4"/>
  <c r="O85" i="4" s="1"/>
  <c r="O115" i="4" s="1"/>
  <c r="H276" i="31"/>
  <c r="H273" i="30"/>
  <c r="H262" i="28"/>
  <c r="H247" i="27"/>
  <c r="H252" i="24"/>
  <c r="H278" i="29"/>
  <c r="H244" i="25"/>
  <c r="H251" i="23"/>
  <c r="H303" i="31"/>
  <c r="H299" i="30"/>
  <c r="H227" i="4"/>
  <c r="K227" i="4" s="1"/>
  <c r="K243" i="27"/>
  <c r="H242" i="27"/>
  <c r="J246" i="28"/>
  <c r="K246" i="28"/>
  <c r="K256" i="30"/>
  <c r="J256" i="30"/>
  <c r="H193" i="28"/>
  <c r="K194" i="28"/>
  <c r="K204" i="28"/>
  <c r="H202" i="28"/>
  <c r="J167" i="23"/>
  <c r="K167" i="23"/>
  <c r="J167" i="24"/>
  <c r="K167" i="24"/>
  <c r="J155" i="24"/>
  <c r="K155" i="24"/>
  <c r="K157" i="28"/>
  <c r="J157" i="28"/>
  <c r="J247" i="31"/>
  <c r="K247" i="31"/>
  <c r="H247" i="28"/>
  <c r="K248" i="28"/>
  <c r="F95" i="30"/>
  <c r="K213" i="30"/>
  <c r="K250" i="29"/>
  <c r="J250" i="29"/>
  <c r="O82" i="25"/>
  <c r="K258" i="25"/>
  <c r="K252" i="25"/>
  <c r="H251" i="25"/>
  <c r="H268" i="24"/>
  <c r="K270" i="24"/>
  <c r="K162" i="27"/>
  <c r="H161" i="27"/>
  <c r="H220" i="30"/>
  <c r="K221" i="30"/>
  <c r="F93" i="31"/>
  <c r="N132" i="31" s="1"/>
  <c r="K197" i="31"/>
  <c r="K195" i="29"/>
  <c r="H194" i="29"/>
  <c r="K179" i="25"/>
  <c r="H178" i="25"/>
  <c r="J167" i="30"/>
  <c r="K167" i="30"/>
  <c r="K185" i="25"/>
  <c r="N82" i="25"/>
  <c r="H258" i="23"/>
  <c r="K259" i="23"/>
  <c r="K258" i="28"/>
  <c r="H257" i="28"/>
  <c r="J236" i="24"/>
  <c r="K236" i="24"/>
  <c r="J259" i="31"/>
  <c r="K259" i="31"/>
  <c r="K207" i="29"/>
  <c r="H206" i="29"/>
  <c r="K201" i="24"/>
  <c r="H199" i="24"/>
  <c r="J160" i="27"/>
  <c r="K160" i="27"/>
  <c r="K155" i="25"/>
  <c r="J155" i="25"/>
  <c r="J143" i="25"/>
  <c r="K143" i="25"/>
  <c r="J147" i="27"/>
  <c r="K147" i="27"/>
  <c r="J222" i="23"/>
  <c r="K222" i="23"/>
  <c r="K259" i="30"/>
  <c r="H258" i="30"/>
  <c r="F97" i="31"/>
  <c r="K216" i="31"/>
  <c r="J216" i="25"/>
  <c r="K216" i="25"/>
  <c r="H184" i="30"/>
  <c r="K186" i="30"/>
  <c r="G97" i="31"/>
  <c r="K295" i="31"/>
  <c r="K284" i="31"/>
  <c r="H283" i="31"/>
  <c r="K295" i="30"/>
  <c r="H293" i="30"/>
  <c r="K172" i="28"/>
  <c r="H171" i="28"/>
  <c r="N94" i="23"/>
  <c r="N124" i="23" s="1"/>
  <c r="K183" i="23"/>
  <c r="H178" i="24"/>
  <c r="K179" i="24"/>
  <c r="K224" i="23"/>
  <c r="J224" i="23"/>
  <c r="H278" i="31"/>
  <c r="K279" i="31"/>
  <c r="J182" i="29"/>
  <c r="K182" i="29"/>
  <c r="H236" i="23"/>
  <c r="K237" i="23"/>
  <c r="K245" i="30"/>
  <c r="J245" i="30"/>
  <c r="K235" i="28"/>
  <c r="J235" i="28"/>
  <c r="K240" i="25"/>
  <c r="H239" i="25"/>
  <c r="K227" i="25"/>
  <c r="J227" i="25"/>
  <c r="K257" i="30"/>
  <c r="J257" i="30"/>
  <c r="H275" i="30"/>
  <c r="K276" i="30"/>
  <c r="H190" i="24"/>
  <c r="K191" i="24"/>
  <c r="H187" i="25"/>
  <c r="K189" i="25"/>
  <c r="K170" i="28"/>
  <c r="J170" i="28"/>
  <c r="J178" i="30"/>
  <c r="K178" i="30"/>
  <c r="J148" i="27"/>
  <c r="K148" i="27"/>
  <c r="K170" i="29"/>
  <c r="J170" i="29"/>
  <c r="K218" i="27"/>
  <c r="J218" i="27"/>
  <c r="H261" i="31"/>
  <c r="K262" i="31"/>
  <c r="K197" i="23"/>
  <c r="N97" i="23"/>
  <c r="J224" i="24"/>
  <c r="K224" i="24"/>
  <c r="H186" i="31"/>
  <c r="K188" i="31"/>
  <c r="K291" i="30"/>
  <c r="G95" i="30"/>
  <c r="H280" i="30"/>
  <c r="K281" i="30"/>
  <c r="H297" i="31"/>
  <c r="K299" i="31"/>
  <c r="H182" i="31"/>
  <c r="K183" i="31"/>
  <c r="N85" i="27"/>
  <c r="N115" i="27" s="1"/>
  <c r="K176" i="27"/>
  <c r="K167" i="25"/>
  <c r="H166" i="25"/>
  <c r="J225" i="24"/>
  <c r="K225" i="24"/>
  <c r="W136" i="29"/>
  <c r="W112" i="25"/>
  <c r="H239" i="28"/>
  <c r="G239" i="28"/>
  <c r="F239" i="28"/>
  <c r="F162" i="28"/>
  <c r="H162" i="28"/>
  <c r="G162" i="28"/>
  <c r="G238" i="28"/>
  <c r="H238" i="28"/>
  <c r="F238" i="28"/>
  <c r="J228" i="23"/>
  <c r="K228" i="23"/>
  <c r="K224" i="27"/>
  <c r="J224" i="27"/>
  <c r="K176" i="29"/>
  <c r="J176" i="29"/>
  <c r="K159" i="23"/>
  <c r="J159" i="23"/>
  <c r="J159" i="24"/>
  <c r="K159" i="24"/>
  <c r="J220" i="25"/>
  <c r="K220" i="25"/>
  <c r="K173" i="31"/>
  <c r="J173" i="31"/>
  <c r="K221" i="25"/>
  <c r="J221" i="25"/>
  <c r="K255" i="29"/>
  <c r="J255" i="29"/>
  <c r="K249" i="30"/>
  <c r="J249" i="30"/>
  <c r="J160" i="23"/>
  <c r="K160" i="23"/>
  <c r="F163" i="28"/>
  <c r="H163" i="28"/>
  <c r="G163" i="28"/>
  <c r="J172" i="30"/>
  <c r="K172" i="30"/>
  <c r="J147" i="25"/>
  <c r="K147" i="25"/>
  <c r="K153" i="27"/>
  <c r="J153" i="27"/>
  <c r="J229" i="24"/>
  <c r="K229" i="24"/>
  <c r="K160" i="24"/>
  <c r="J160" i="24"/>
  <c r="K174" i="31"/>
  <c r="J174" i="31"/>
  <c r="J152" i="27"/>
  <c r="K152" i="27"/>
  <c r="K252" i="31"/>
  <c r="J252" i="31"/>
  <c r="K250" i="30"/>
  <c r="J250" i="30"/>
  <c r="J253" i="31"/>
  <c r="K175" i="29"/>
  <c r="J175" i="29"/>
  <c r="K171" i="30"/>
  <c r="J171" i="30"/>
  <c r="U90" i="31"/>
  <c r="U88" i="30"/>
  <c r="U73" i="27"/>
  <c r="U79" i="28"/>
  <c r="U67" i="25"/>
  <c r="U82" i="24"/>
  <c r="U91" i="29"/>
  <c r="U82" i="23"/>
  <c r="U74" i="4"/>
  <c r="U113" i="4" s="1"/>
  <c r="U91" i="31"/>
  <c r="U130" i="31" s="1"/>
  <c r="U89" i="30"/>
  <c r="U128" i="30" s="1"/>
  <c r="U80" i="28"/>
  <c r="U119" i="28" s="1"/>
  <c r="U74" i="27"/>
  <c r="U113" i="27" s="1"/>
  <c r="U68" i="25"/>
  <c r="U107" i="25" s="1"/>
  <c r="U83" i="24"/>
  <c r="U122" i="24" s="1"/>
  <c r="U92" i="29"/>
  <c r="U131" i="29" s="1"/>
  <c r="U83" i="23"/>
  <c r="U122" i="23" s="1"/>
  <c r="K148" i="25"/>
  <c r="J148" i="25"/>
  <c r="K227" i="23"/>
  <c r="J227" i="23"/>
  <c r="J223" i="27"/>
  <c r="K223" i="27"/>
  <c r="K254" i="29"/>
  <c r="J254" i="29"/>
  <c r="J228" i="24"/>
  <c r="K228" i="24"/>
  <c r="H163" i="4"/>
  <c r="N83" i="4" s="1"/>
  <c r="N113" i="4" s="1"/>
  <c r="K189" i="29"/>
  <c r="H188" i="29"/>
  <c r="H251" i="28"/>
  <c r="K252" i="28"/>
  <c r="K173" i="24"/>
  <c r="H172" i="24"/>
  <c r="H165" i="27"/>
  <c r="K166" i="27"/>
  <c r="H240" i="23"/>
  <c r="K241" i="23"/>
  <c r="K237" i="27"/>
  <c r="H236" i="27"/>
  <c r="K173" i="23"/>
  <c r="H172" i="23"/>
  <c r="H267" i="29"/>
  <c r="K268" i="29"/>
  <c r="K161" i="25"/>
  <c r="H160" i="25"/>
  <c r="K242" i="24"/>
  <c r="H241" i="24"/>
  <c r="K176" i="28"/>
  <c r="H175" i="28"/>
  <c r="K234" i="25"/>
  <c r="H233" i="25"/>
  <c r="K268" i="4"/>
  <c r="N100" i="23"/>
  <c r="N130" i="23" s="1"/>
  <c r="K209" i="23"/>
  <c r="O100" i="23"/>
  <c r="O130" i="23" s="1"/>
  <c r="K277" i="23"/>
  <c r="N100" i="24"/>
  <c r="N130" i="24" s="1"/>
  <c r="K209" i="24"/>
  <c r="N85" i="25"/>
  <c r="N115" i="25" s="1"/>
  <c r="K197" i="25"/>
  <c r="O100" i="24"/>
  <c r="O130" i="24" s="1"/>
  <c r="K278" i="24"/>
  <c r="O97" i="28"/>
  <c r="O127" i="28" s="1"/>
  <c r="K288" i="28"/>
  <c r="N97" i="28"/>
  <c r="N127" i="28" s="1"/>
  <c r="K212" i="28"/>
  <c r="O85" i="25"/>
  <c r="O115" i="25" s="1"/>
  <c r="K270" i="25"/>
  <c r="F101" i="29"/>
  <c r="N140" i="29" s="1"/>
  <c r="K229" i="29"/>
  <c r="O91" i="27"/>
  <c r="O121" i="27" s="1"/>
  <c r="K273" i="27"/>
  <c r="N91" i="27"/>
  <c r="N121" i="27" s="1"/>
  <c r="K202" i="27"/>
  <c r="G101" i="29"/>
  <c r="O140" i="29" s="1"/>
  <c r="K308" i="29"/>
  <c r="H224" i="29"/>
  <c r="K225" i="29"/>
  <c r="H204" i="23"/>
  <c r="K205" i="23"/>
  <c r="H204" i="24"/>
  <c r="K205" i="24"/>
  <c r="H207" i="28"/>
  <c r="K208" i="28"/>
  <c r="K198" i="27"/>
  <c r="H197" i="27"/>
  <c r="H192" i="25"/>
  <c r="K193" i="25"/>
  <c r="H264" i="4"/>
  <c r="K264" i="4" s="1"/>
  <c r="H269" i="27"/>
  <c r="H304" i="29"/>
  <c r="H274" i="24"/>
  <c r="H284" i="28"/>
  <c r="H266" i="25"/>
  <c r="H273" i="23"/>
  <c r="H249" i="27"/>
  <c r="K252" i="27"/>
  <c r="H176" i="4"/>
  <c r="N86" i="4" s="1"/>
  <c r="N116" i="4" s="1"/>
  <c r="K188" i="23"/>
  <c r="H185" i="23"/>
  <c r="H253" i="23"/>
  <c r="K256" i="23"/>
  <c r="H188" i="28"/>
  <c r="K191" i="28"/>
  <c r="H280" i="29"/>
  <c r="K283" i="29"/>
  <c r="H178" i="27"/>
  <c r="K181" i="27"/>
  <c r="H264" i="28"/>
  <c r="K267" i="28"/>
  <c r="K204" i="29"/>
  <c r="H201" i="29"/>
  <c r="H254" i="24"/>
  <c r="K257" i="24"/>
  <c r="H185" i="24"/>
  <c r="K188" i="24"/>
  <c r="H246" i="25"/>
  <c r="K249" i="25"/>
  <c r="K176" i="25"/>
  <c r="H173" i="25"/>
  <c r="E108" i="25"/>
  <c r="K237" i="4"/>
  <c r="O84" i="4"/>
  <c r="O114" i="4" s="1"/>
  <c r="K177" i="4"/>
  <c r="K192" i="4"/>
  <c r="K190" i="4"/>
  <c r="J181" i="4"/>
  <c r="V22" i="12"/>
  <c r="J219" i="4"/>
  <c r="U21" i="12"/>
  <c r="K218" i="4"/>
  <c r="K151" i="4"/>
  <c r="V21" i="12"/>
  <c r="U22" i="12"/>
  <c r="J151" i="4"/>
  <c r="J218" i="4"/>
  <c r="K219" i="4"/>
  <c r="U112" i="4"/>
  <c r="K174" i="4"/>
  <c r="G215" i="4"/>
  <c r="W77" i="4"/>
  <c r="W116" i="4" s="1"/>
  <c r="J158" i="4"/>
  <c r="K158" i="4"/>
  <c r="K157" i="4"/>
  <c r="J157" i="4"/>
  <c r="K225" i="4"/>
  <c r="J225" i="4"/>
  <c r="J226" i="4"/>
  <c r="K226" i="4"/>
  <c r="H215" i="4"/>
  <c r="F213" i="4"/>
  <c r="H214" i="4"/>
  <c r="F215" i="4"/>
  <c r="G214" i="4"/>
  <c r="H213" i="4"/>
  <c r="F214" i="4"/>
  <c r="G213" i="4"/>
  <c r="E139" i="4"/>
  <c r="F145" i="4" s="1"/>
  <c r="S18" i="12"/>
  <c r="R18" i="12"/>
  <c r="Q18" i="12"/>
  <c r="F24" i="12"/>
  <c r="H227" i="30" l="1"/>
  <c r="K149" i="27"/>
  <c r="K220" i="27"/>
  <c r="O86" i="4"/>
  <c r="O116" i="4" s="1"/>
  <c r="J220" i="27"/>
  <c r="N82" i="4"/>
  <c r="N112" i="4" s="1"/>
  <c r="O82" i="4"/>
  <c r="O112" i="4" s="1"/>
  <c r="O87" i="4"/>
  <c r="O117" i="4" s="1"/>
  <c r="K181" i="4"/>
  <c r="F82" i="24"/>
  <c r="F121" i="24" s="1"/>
  <c r="N102" i="30"/>
  <c r="F132" i="30" s="1"/>
  <c r="F82" i="23"/>
  <c r="F121" i="23" s="1"/>
  <c r="O99" i="31"/>
  <c r="G129" i="31" s="1"/>
  <c r="G67" i="25"/>
  <c r="G106" i="25" s="1"/>
  <c r="G66" i="25"/>
  <c r="G82" i="23"/>
  <c r="G121" i="23" s="1"/>
  <c r="K231" i="4"/>
  <c r="O100" i="29"/>
  <c r="G130" i="29" s="1"/>
  <c r="G73" i="27"/>
  <c r="G112" i="27" s="1"/>
  <c r="K242" i="4"/>
  <c r="N100" i="29"/>
  <c r="F130" i="29" s="1"/>
  <c r="N99" i="31"/>
  <c r="F129" i="31" s="1"/>
  <c r="N97" i="30"/>
  <c r="F127" i="30" s="1"/>
  <c r="O104" i="31"/>
  <c r="G134" i="31" s="1"/>
  <c r="O89" i="4"/>
  <c r="F87" i="24"/>
  <c r="F126" i="24" s="1"/>
  <c r="G72" i="25"/>
  <c r="G111" i="25" s="1"/>
  <c r="O97" i="30"/>
  <c r="G127" i="30" s="1"/>
  <c r="N105" i="29"/>
  <c r="F135" i="29" s="1"/>
  <c r="N104" i="31"/>
  <c r="F134" i="31" s="1"/>
  <c r="O78" i="25"/>
  <c r="O108" i="25" s="1"/>
  <c r="K239" i="25"/>
  <c r="K258" i="30"/>
  <c r="G88" i="30"/>
  <c r="O127" i="30" s="1"/>
  <c r="F93" i="29"/>
  <c r="N132" i="29" s="1"/>
  <c r="K194" i="29"/>
  <c r="O91" i="28"/>
  <c r="O121" i="28" s="1"/>
  <c r="K262" i="28"/>
  <c r="N89" i="27"/>
  <c r="K192" i="27"/>
  <c r="F78" i="27"/>
  <c r="F117" i="27" s="1"/>
  <c r="F72" i="25"/>
  <c r="F111" i="25" s="1"/>
  <c r="G87" i="24"/>
  <c r="G126" i="24" s="1"/>
  <c r="F67" i="25"/>
  <c r="F106" i="25" s="1"/>
  <c r="G93" i="30"/>
  <c r="O132" i="30" s="1"/>
  <c r="K280" i="30"/>
  <c r="N96" i="24"/>
  <c r="N126" i="24" s="1"/>
  <c r="K190" i="24"/>
  <c r="O98" i="24"/>
  <c r="K268" i="24"/>
  <c r="N93" i="28"/>
  <c r="N123" i="28" s="1"/>
  <c r="K193" i="28"/>
  <c r="H298" i="30"/>
  <c r="H305" i="30" s="1"/>
  <c r="K299" i="30"/>
  <c r="G91" i="30"/>
  <c r="O130" i="30" s="1"/>
  <c r="K273" i="30"/>
  <c r="N93" i="23"/>
  <c r="N123" i="23" s="1"/>
  <c r="K178" i="23"/>
  <c r="O83" i="25"/>
  <c r="K260" i="25"/>
  <c r="O93" i="24"/>
  <c r="O123" i="24" s="1"/>
  <c r="K247" i="24"/>
  <c r="F99" i="29"/>
  <c r="K219" i="29"/>
  <c r="N91" i="24"/>
  <c r="N121" i="24" s="1"/>
  <c r="K168" i="24"/>
  <c r="N98" i="23"/>
  <c r="K199" i="23"/>
  <c r="F91" i="29"/>
  <c r="N130" i="29" s="1"/>
  <c r="K184" i="29"/>
  <c r="O87" i="27"/>
  <c r="O117" i="27" s="1"/>
  <c r="K254" i="27"/>
  <c r="N83" i="25"/>
  <c r="K187" i="25"/>
  <c r="N93" i="24"/>
  <c r="N123" i="24" s="1"/>
  <c r="K178" i="24"/>
  <c r="O96" i="23"/>
  <c r="O126" i="23" s="1"/>
  <c r="K258" i="23"/>
  <c r="N88" i="28"/>
  <c r="N118" i="28" s="1"/>
  <c r="K171" i="28"/>
  <c r="O81" i="25"/>
  <c r="O111" i="25" s="1"/>
  <c r="K251" i="25"/>
  <c r="O102" i="30"/>
  <c r="G132" i="30" s="1"/>
  <c r="H302" i="31"/>
  <c r="H309" i="31" s="1"/>
  <c r="K303" i="31"/>
  <c r="G93" i="31"/>
  <c r="O132" i="31" s="1"/>
  <c r="K276" i="31"/>
  <c r="O96" i="24"/>
  <c r="O126" i="24" s="1"/>
  <c r="K259" i="24"/>
  <c r="G93" i="29"/>
  <c r="O132" i="29" s="1"/>
  <c r="K273" i="29"/>
  <c r="F92" i="31"/>
  <c r="N131" i="31" s="1"/>
  <c r="K192" i="31"/>
  <c r="O95" i="28"/>
  <c r="K278" i="28"/>
  <c r="F98" i="31"/>
  <c r="K218" i="31"/>
  <c r="F96" i="30"/>
  <c r="K215" i="30"/>
  <c r="G92" i="31"/>
  <c r="O131" i="31" s="1"/>
  <c r="K271" i="31"/>
  <c r="K163" i="4"/>
  <c r="G82" i="24"/>
  <c r="G121" i="24" s="1"/>
  <c r="G90" i="31"/>
  <c r="O129" i="31" s="1"/>
  <c r="K261" i="31"/>
  <c r="G92" i="30"/>
  <c r="O131" i="30" s="1"/>
  <c r="K275" i="30"/>
  <c r="G94" i="31"/>
  <c r="O133" i="31" s="1"/>
  <c r="K278" i="31"/>
  <c r="F89" i="30"/>
  <c r="N128" i="30" s="1"/>
  <c r="K184" i="30"/>
  <c r="O88" i="28"/>
  <c r="O118" i="28" s="1"/>
  <c r="K247" i="28"/>
  <c r="O94" i="23"/>
  <c r="O124" i="23" s="1"/>
  <c r="K251" i="23"/>
  <c r="O82" i="27"/>
  <c r="O112" i="27" s="1"/>
  <c r="K232" i="27"/>
  <c r="G89" i="30"/>
  <c r="O128" i="30" s="1"/>
  <c r="K262" i="30"/>
  <c r="N87" i="27"/>
  <c r="N117" i="27" s="1"/>
  <c r="K183" i="27"/>
  <c r="N84" i="27"/>
  <c r="N114" i="27" s="1"/>
  <c r="K171" i="27"/>
  <c r="G99" i="29"/>
  <c r="K298" i="29"/>
  <c r="O93" i="23"/>
  <c r="O123" i="23" s="1"/>
  <c r="K246" i="23"/>
  <c r="G91" i="31"/>
  <c r="O130" i="31" s="1"/>
  <c r="K265" i="31"/>
  <c r="O91" i="23"/>
  <c r="O121" i="23" s="1"/>
  <c r="K236" i="23"/>
  <c r="F73" i="27"/>
  <c r="F112" i="27" s="1"/>
  <c r="G96" i="30"/>
  <c r="K293" i="30"/>
  <c r="N98" i="24"/>
  <c r="K199" i="24"/>
  <c r="O90" i="28"/>
  <c r="O120" i="28" s="1"/>
  <c r="K257" i="28"/>
  <c r="N81" i="25"/>
  <c r="N111" i="25" s="1"/>
  <c r="K178" i="25"/>
  <c r="O79" i="25"/>
  <c r="O109" i="25" s="1"/>
  <c r="K244" i="25"/>
  <c r="F99" i="31"/>
  <c r="K223" i="31"/>
  <c r="N96" i="23"/>
  <c r="N126" i="23" s="1"/>
  <c r="K190" i="23"/>
  <c r="N91" i="23"/>
  <c r="N121" i="23" s="1"/>
  <c r="K168" i="23"/>
  <c r="O76" i="25"/>
  <c r="O106" i="25" s="1"/>
  <c r="K229" i="25"/>
  <c r="F93" i="30"/>
  <c r="N132" i="30" s="1"/>
  <c r="K202" i="30"/>
  <c r="G98" i="31"/>
  <c r="K297" i="31"/>
  <c r="K176" i="4"/>
  <c r="F90" i="31"/>
  <c r="N129" i="31" s="1"/>
  <c r="K182" i="31"/>
  <c r="F91" i="31"/>
  <c r="N130" i="31" s="1"/>
  <c r="K186" i="31"/>
  <c r="F97" i="30"/>
  <c r="K220" i="30"/>
  <c r="G94" i="29"/>
  <c r="O133" i="29" s="1"/>
  <c r="K278" i="29"/>
  <c r="F90" i="30"/>
  <c r="N129" i="30" s="1"/>
  <c r="K190" i="30"/>
  <c r="F84" i="28"/>
  <c r="F123" i="28" s="1"/>
  <c r="G84" i="28"/>
  <c r="G123" i="28" s="1"/>
  <c r="O93" i="28"/>
  <c r="O123" i="28" s="1"/>
  <c r="K269" i="28"/>
  <c r="G91" i="29"/>
  <c r="O130" i="29" s="1"/>
  <c r="K263" i="29"/>
  <c r="F95" i="31"/>
  <c r="N134" i="31" s="1"/>
  <c r="K204" i="31"/>
  <c r="N78" i="25"/>
  <c r="N108" i="25" s="1"/>
  <c r="K166" i="25"/>
  <c r="G95" i="31"/>
  <c r="O134" i="31" s="1"/>
  <c r="K283" i="31"/>
  <c r="K206" i="29"/>
  <c r="F96" i="29"/>
  <c r="N135" i="29" s="1"/>
  <c r="N82" i="27"/>
  <c r="N112" i="27" s="1"/>
  <c r="K161" i="27"/>
  <c r="N95" i="28"/>
  <c r="K202" i="28"/>
  <c r="O84" i="27"/>
  <c r="O114" i="27" s="1"/>
  <c r="K242" i="27"/>
  <c r="O94" i="24"/>
  <c r="O124" i="24" s="1"/>
  <c r="K252" i="24"/>
  <c r="F92" i="30"/>
  <c r="N131" i="30" s="1"/>
  <c r="K197" i="30"/>
  <c r="N76" i="25"/>
  <c r="N106" i="25" s="1"/>
  <c r="K156" i="25"/>
  <c r="F87" i="23"/>
  <c r="F126" i="23" s="1"/>
  <c r="F88" i="30"/>
  <c r="N127" i="30" s="1"/>
  <c r="K180" i="30"/>
  <c r="G96" i="29"/>
  <c r="O135" i="29" s="1"/>
  <c r="K285" i="29"/>
  <c r="O91" i="24"/>
  <c r="O121" i="24" s="1"/>
  <c r="K237" i="24"/>
  <c r="O105" i="29"/>
  <c r="G135" i="29" s="1"/>
  <c r="O98" i="23"/>
  <c r="K267" i="23"/>
  <c r="O85" i="27"/>
  <c r="O115" i="27" s="1"/>
  <c r="K247" i="27"/>
  <c r="N90" i="28"/>
  <c r="N120" i="28" s="1"/>
  <c r="K181" i="28"/>
  <c r="O89" i="27"/>
  <c r="K263" i="27"/>
  <c r="F94" i="31"/>
  <c r="N133" i="31" s="1"/>
  <c r="K199" i="31"/>
  <c r="G78" i="27"/>
  <c r="G117" i="27" s="1"/>
  <c r="G90" i="30"/>
  <c r="O129" i="30" s="1"/>
  <c r="K268" i="30"/>
  <c r="U127" i="30"/>
  <c r="N99" i="29"/>
  <c r="J163" i="28"/>
  <c r="F79" i="28" s="1"/>
  <c r="F118" i="28" s="1"/>
  <c r="K163" i="28"/>
  <c r="U129" i="31"/>
  <c r="U121" i="23"/>
  <c r="G81" i="24"/>
  <c r="G72" i="27"/>
  <c r="U130" i="29"/>
  <c r="N98" i="31"/>
  <c r="U121" i="24"/>
  <c r="F81" i="24"/>
  <c r="K239" i="28"/>
  <c r="J239" i="28"/>
  <c r="G79" i="28" s="1"/>
  <c r="G118" i="28" s="1"/>
  <c r="G81" i="23"/>
  <c r="U106" i="25"/>
  <c r="F66" i="25"/>
  <c r="O96" i="30"/>
  <c r="G105" i="25"/>
  <c r="K238" i="28"/>
  <c r="J238" i="28"/>
  <c r="F176" i="31"/>
  <c r="F252" i="30"/>
  <c r="H174" i="30"/>
  <c r="G176" i="31"/>
  <c r="H255" i="31"/>
  <c r="G255" i="31"/>
  <c r="G174" i="30"/>
  <c r="G252" i="30"/>
  <c r="F255" i="31"/>
  <c r="H176" i="31"/>
  <c r="H252" i="30"/>
  <c r="F174" i="30"/>
  <c r="F162" i="24"/>
  <c r="H162" i="24"/>
  <c r="H152" i="24" s="1"/>
  <c r="N90" i="24" s="1"/>
  <c r="N120" i="24" s="1"/>
  <c r="E225" i="28"/>
  <c r="F225" i="28" s="1"/>
  <c r="E142" i="27"/>
  <c r="G142" i="27" s="1"/>
  <c r="H257" i="29"/>
  <c r="H247" i="29" s="1"/>
  <c r="G90" i="29" s="1"/>
  <c r="O129" i="29" s="1"/>
  <c r="H178" i="29"/>
  <c r="H168" i="29" s="1"/>
  <c r="F90" i="29" s="1"/>
  <c r="N129" i="29" s="1"/>
  <c r="H231" i="24"/>
  <c r="H221" i="24" s="1"/>
  <c r="O90" i="24" s="1"/>
  <c r="O120" i="24" s="1"/>
  <c r="G257" i="29"/>
  <c r="G178" i="29"/>
  <c r="G231" i="24"/>
  <c r="G162" i="24"/>
  <c r="F257" i="29"/>
  <c r="F178" i="29"/>
  <c r="H223" i="25"/>
  <c r="H213" i="25" s="1"/>
  <c r="O75" i="25" s="1"/>
  <c r="O105" i="25" s="1"/>
  <c r="F231" i="24"/>
  <c r="E150" i="28"/>
  <c r="F150" i="28" s="1"/>
  <c r="E213" i="27"/>
  <c r="G213" i="27" s="1"/>
  <c r="H162" i="23"/>
  <c r="H152" i="23" s="1"/>
  <c r="N90" i="23" s="1"/>
  <c r="N120" i="23" s="1"/>
  <c r="F223" i="25"/>
  <c r="G162" i="23"/>
  <c r="F162" i="23"/>
  <c r="G150" i="25"/>
  <c r="F150" i="25"/>
  <c r="G223" i="25"/>
  <c r="H150" i="25"/>
  <c r="H140" i="25" s="1"/>
  <c r="N75" i="25" s="1"/>
  <c r="N105" i="25" s="1"/>
  <c r="H230" i="23"/>
  <c r="H220" i="23" s="1"/>
  <c r="O90" i="23" s="1"/>
  <c r="O120" i="23" s="1"/>
  <c r="F230" i="23"/>
  <c r="G230" i="23"/>
  <c r="O99" i="29"/>
  <c r="U118" i="28"/>
  <c r="N96" i="30"/>
  <c r="U112" i="27"/>
  <c r="O98" i="31"/>
  <c r="F72" i="27"/>
  <c r="F81" i="23"/>
  <c r="K162" i="28"/>
  <c r="J162" i="28"/>
  <c r="N89" i="28"/>
  <c r="N119" i="28" s="1"/>
  <c r="K175" i="28"/>
  <c r="G92" i="29"/>
  <c r="O131" i="29" s="1"/>
  <c r="K267" i="29"/>
  <c r="N83" i="27"/>
  <c r="N113" i="27" s="1"/>
  <c r="K165" i="27"/>
  <c r="N92" i="23"/>
  <c r="N122" i="23" s="1"/>
  <c r="K172" i="23"/>
  <c r="N92" i="24"/>
  <c r="N122" i="24" s="1"/>
  <c r="K172" i="24"/>
  <c r="O92" i="24"/>
  <c r="O122" i="24" s="1"/>
  <c r="K241" i="24"/>
  <c r="O83" i="27"/>
  <c r="O113" i="27" s="1"/>
  <c r="K236" i="27"/>
  <c r="O89" i="28"/>
  <c r="O119" i="28" s="1"/>
  <c r="K251" i="28"/>
  <c r="N77" i="25"/>
  <c r="N107" i="25" s="1"/>
  <c r="K160" i="25"/>
  <c r="F92" i="29"/>
  <c r="N131" i="29" s="1"/>
  <c r="K188" i="29"/>
  <c r="O77" i="25"/>
  <c r="O107" i="25" s="1"/>
  <c r="K233" i="25"/>
  <c r="O92" i="23"/>
  <c r="O122" i="23" s="1"/>
  <c r="K240" i="23"/>
  <c r="K304" i="29"/>
  <c r="H303" i="29"/>
  <c r="H310" i="29" s="1"/>
  <c r="N96" i="28"/>
  <c r="K207" i="28"/>
  <c r="N99" i="24"/>
  <c r="K204" i="24"/>
  <c r="K274" i="24"/>
  <c r="H273" i="24"/>
  <c r="H263" i="4"/>
  <c r="O90" i="4" s="1"/>
  <c r="K273" i="23"/>
  <c r="H272" i="23"/>
  <c r="N84" i="25"/>
  <c r="K192" i="25"/>
  <c r="N99" i="23"/>
  <c r="K204" i="23"/>
  <c r="K266" i="25"/>
  <c r="H265" i="25"/>
  <c r="N90" i="27"/>
  <c r="K197" i="27"/>
  <c r="K269" i="27"/>
  <c r="H268" i="27"/>
  <c r="K284" i="28"/>
  <c r="H283" i="28"/>
  <c r="F100" i="29"/>
  <c r="K224" i="29"/>
  <c r="O95" i="24"/>
  <c r="K254" i="24"/>
  <c r="N86" i="27"/>
  <c r="K178" i="27"/>
  <c r="N95" i="23"/>
  <c r="K185" i="23"/>
  <c r="F95" i="29"/>
  <c r="K201" i="29"/>
  <c r="O80" i="25"/>
  <c r="K246" i="25"/>
  <c r="G95" i="29"/>
  <c r="K280" i="29"/>
  <c r="N80" i="25"/>
  <c r="K173" i="25"/>
  <c r="O92" i="28"/>
  <c r="K264" i="28"/>
  <c r="N92" i="28"/>
  <c r="K188" i="28"/>
  <c r="O95" i="23"/>
  <c r="K253" i="23"/>
  <c r="N95" i="24"/>
  <c r="K185" i="24"/>
  <c r="O86" i="27"/>
  <c r="K249" i="27"/>
  <c r="F78" i="4"/>
  <c r="Q24" i="12"/>
  <c r="F153" i="4"/>
  <c r="F221" i="4"/>
  <c r="F211" i="4" s="1"/>
  <c r="H153" i="4"/>
  <c r="G153" i="4"/>
  <c r="AB18" i="12"/>
  <c r="G221" i="4"/>
  <c r="G270" i="4" s="1"/>
  <c r="H221" i="4"/>
  <c r="H211" i="4" s="1"/>
  <c r="O81" i="4" s="1"/>
  <c r="G78" i="4"/>
  <c r="J216" i="4"/>
  <c r="G75" i="4" s="1"/>
  <c r="K216" i="4"/>
  <c r="F148" i="4"/>
  <c r="G148" i="4"/>
  <c r="S148" i="4"/>
  <c r="V77" i="4" s="1"/>
  <c r="V116" i="4" s="1"/>
  <c r="H148" i="4"/>
  <c r="S24" i="12"/>
  <c r="R24" i="12"/>
  <c r="H146" i="4"/>
  <c r="H147" i="4"/>
  <c r="H145" i="4"/>
  <c r="G146" i="4"/>
  <c r="G147" i="4"/>
  <c r="G145" i="4"/>
  <c r="F147" i="4"/>
  <c r="F146" i="4"/>
  <c r="U18" i="12"/>
  <c r="J19" i="13"/>
  <c r="E21" i="3"/>
  <c r="M15" i="3"/>
  <c r="S217" i="25" s="1"/>
  <c r="I15" i="3"/>
  <c r="S144" i="25" s="1"/>
  <c r="K263" i="4" l="1"/>
  <c r="G99" i="31"/>
  <c r="K302" i="31"/>
  <c r="G97" i="30"/>
  <c r="K298" i="30"/>
  <c r="S150" i="25"/>
  <c r="V69" i="25" s="1"/>
  <c r="V108" i="25" s="1"/>
  <c r="S223" i="25"/>
  <c r="W69" i="25" s="1"/>
  <c r="W108" i="25" s="1"/>
  <c r="H272" i="25"/>
  <c r="O68" i="25" s="1"/>
  <c r="H199" i="25"/>
  <c r="N68" i="25" s="1"/>
  <c r="H231" i="29"/>
  <c r="N92" i="29" s="1"/>
  <c r="H211" i="23"/>
  <c r="N83" i="23" s="1"/>
  <c r="O92" i="29"/>
  <c r="H211" i="24"/>
  <c r="N83" i="24" s="1"/>
  <c r="F120" i="23"/>
  <c r="G128" i="31"/>
  <c r="F126" i="30"/>
  <c r="G220" i="23"/>
  <c r="G279" i="23"/>
  <c r="G211" i="23"/>
  <c r="G152" i="23"/>
  <c r="H165" i="28"/>
  <c r="G165" i="28"/>
  <c r="F165" i="28"/>
  <c r="G247" i="29"/>
  <c r="H241" i="28"/>
  <c r="H231" i="28" s="1"/>
  <c r="O87" i="28" s="1"/>
  <c r="O117" i="28" s="1"/>
  <c r="G241" i="28"/>
  <c r="F241" i="28"/>
  <c r="G227" i="30"/>
  <c r="G164" i="30"/>
  <c r="H164" i="30"/>
  <c r="F87" i="30" s="1"/>
  <c r="F220" i="23"/>
  <c r="J230" i="23"/>
  <c r="K230" i="23"/>
  <c r="F279" i="23"/>
  <c r="J223" i="25"/>
  <c r="K223" i="25"/>
  <c r="F272" i="25"/>
  <c r="F213" i="25"/>
  <c r="K231" i="24"/>
  <c r="J231" i="24"/>
  <c r="F280" i="24"/>
  <c r="F221" i="24"/>
  <c r="J252" i="30"/>
  <c r="J305" i="30" s="1"/>
  <c r="F242" i="30"/>
  <c r="F78" i="28"/>
  <c r="J162" i="24"/>
  <c r="K162" i="24"/>
  <c r="F152" i="24"/>
  <c r="F211" i="24"/>
  <c r="G245" i="31"/>
  <c r="J176" i="31"/>
  <c r="K176" i="31"/>
  <c r="K230" i="31" s="1"/>
  <c r="F166" i="31"/>
  <c r="F230" i="31"/>
  <c r="K178" i="29"/>
  <c r="J178" i="29"/>
  <c r="F231" i="29"/>
  <c r="F168" i="29"/>
  <c r="K174" i="30"/>
  <c r="K227" i="30" s="1"/>
  <c r="J174" i="30"/>
  <c r="F164" i="30"/>
  <c r="F227" i="30"/>
  <c r="G120" i="23"/>
  <c r="F120" i="24"/>
  <c r="G111" i="27"/>
  <c r="F129" i="29"/>
  <c r="K211" i="24"/>
  <c r="G129" i="29"/>
  <c r="G213" i="25"/>
  <c r="G272" i="25"/>
  <c r="J257" i="29"/>
  <c r="J310" i="29" s="1"/>
  <c r="K257" i="29"/>
  <c r="F247" i="29"/>
  <c r="H155" i="27"/>
  <c r="G155" i="27"/>
  <c r="F155" i="27"/>
  <c r="H242" i="30"/>
  <c r="G87" i="30" s="1"/>
  <c r="H245" i="31"/>
  <c r="G89" i="31" s="1"/>
  <c r="G126" i="30"/>
  <c r="F128" i="31"/>
  <c r="M100" i="31"/>
  <c r="E130" i="31" s="1"/>
  <c r="M98" i="30"/>
  <c r="E128" i="30" s="1"/>
  <c r="E74" i="27"/>
  <c r="E113" i="27" s="1"/>
  <c r="E80" i="28"/>
  <c r="E119" i="28" s="1"/>
  <c r="E68" i="25"/>
  <c r="E107" i="25" s="1"/>
  <c r="E83" i="24"/>
  <c r="E122" i="24" s="1"/>
  <c r="M101" i="29"/>
  <c r="E131" i="29" s="1"/>
  <c r="E83" i="23"/>
  <c r="E122" i="23" s="1"/>
  <c r="U92" i="31"/>
  <c r="U90" i="30"/>
  <c r="U69" i="25"/>
  <c r="U93" i="29"/>
  <c r="U75" i="27"/>
  <c r="U84" i="24"/>
  <c r="U81" i="28"/>
  <c r="U84" i="23"/>
  <c r="J150" i="25"/>
  <c r="K150" i="25"/>
  <c r="K199" i="25" s="1"/>
  <c r="F140" i="25"/>
  <c r="F199" i="25"/>
  <c r="G211" i="24"/>
  <c r="G152" i="24"/>
  <c r="H166" i="31"/>
  <c r="F89" i="31" s="1"/>
  <c r="H230" i="31"/>
  <c r="G166" i="31"/>
  <c r="G230" i="31"/>
  <c r="G120" i="24"/>
  <c r="F111" i="27"/>
  <c r="G199" i="25"/>
  <c r="G140" i="25"/>
  <c r="G221" i="24"/>
  <c r="G280" i="24"/>
  <c r="K255" i="31"/>
  <c r="K309" i="31" s="1"/>
  <c r="J255" i="31"/>
  <c r="J309" i="31" s="1"/>
  <c r="F245" i="31"/>
  <c r="F105" i="25"/>
  <c r="H279" i="23"/>
  <c r="O83" i="23" s="1"/>
  <c r="K162" i="23"/>
  <c r="K211" i="23" s="1"/>
  <c r="J162" i="23"/>
  <c r="F211" i="23"/>
  <c r="F152" i="23"/>
  <c r="H226" i="27"/>
  <c r="G226" i="27"/>
  <c r="F226" i="27"/>
  <c r="G168" i="29"/>
  <c r="G231" i="29"/>
  <c r="K252" i="30"/>
  <c r="K305" i="30" s="1"/>
  <c r="G242" i="30"/>
  <c r="G78" i="28"/>
  <c r="K231" i="29"/>
  <c r="O90" i="27"/>
  <c r="K268" i="27"/>
  <c r="O99" i="24"/>
  <c r="O101" i="24" s="1"/>
  <c r="K273" i="24"/>
  <c r="O96" i="28"/>
  <c r="K283" i="28"/>
  <c r="H280" i="24"/>
  <c r="O99" i="23"/>
  <c r="O101" i="23" s="1"/>
  <c r="K272" i="23"/>
  <c r="G100" i="29"/>
  <c r="G102" i="29" s="1"/>
  <c r="K303" i="29"/>
  <c r="O84" i="25"/>
  <c r="O86" i="25" s="1"/>
  <c r="K265" i="25"/>
  <c r="N125" i="24"/>
  <c r="N131" i="24" s="1"/>
  <c r="N101" i="24"/>
  <c r="N125" i="23"/>
  <c r="N131" i="23" s="1"/>
  <c r="N101" i="23"/>
  <c r="O110" i="25"/>
  <c r="O116" i="25" s="1"/>
  <c r="O125" i="23"/>
  <c r="O131" i="23" s="1"/>
  <c r="N116" i="27"/>
  <c r="N110" i="25"/>
  <c r="N116" i="25" s="1"/>
  <c r="N86" i="25"/>
  <c r="O134" i="29"/>
  <c r="O141" i="29" s="1"/>
  <c r="N134" i="29"/>
  <c r="N141" i="29" s="1"/>
  <c r="F102" i="29"/>
  <c r="O122" i="28"/>
  <c r="O116" i="27"/>
  <c r="N122" i="28"/>
  <c r="O125" i="24"/>
  <c r="O131" i="24" s="1"/>
  <c r="O92" i="4"/>
  <c r="O111" i="4"/>
  <c r="O122" i="4" s="1"/>
  <c r="F270" i="4"/>
  <c r="G211" i="4"/>
  <c r="J211" i="4" s="1"/>
  <c r="H143" i="4"/>
  <c r="N81" i="4" s="1"/>
  <c r="H202" i="4"/>
  <c r="G202" i="4"/>
  <c r="G143" i="4"/>
  <c r="F202" i="4"/>
  <c r="F143" i="4"/>
  <c r="H270" i="4"/>
  <c r="O73" i="4"/>
  <c r="O99" i="4" s="1"/>
  <c r="J221" i="4"/>
  <c r="K153" i="4"/>
  <c r="J153" i="4"/>
  <c r="U75" i="4"/>
  <c r="AB15" i="12"/>
  <c r="K221" i="4"/>
  <c r="K148" i="4"/>
  <c r="J148" i="4"/>
  <c r="F75" i="4" s="1"/>
  <c r="E22" i="3"/>
  <c r="M21" i="3"/>
  <c r="M23" i="3"/>
  <c r="M22" i="3"/>
  <c r="S235" i="4" s="1"/>
  <c r="W85" i="4" s="1"/>
  <c r="I23" i="3"/>
  <c r="I22" i="3"/>
  <c r="I21" i="3"/>
  <c r="V24" i="12"/>
  <c r="E74" i="4"/>
  <c r="E113" i="4" s="1"/>
  <c r="U24" i="12"/>
  <c r="J145" i="4"/>
  <c r="J215" i="4"/>
  <c r="K215" i="4"/>
  <c r="K213" i="4"/>
  <c r="J213" i="4"/>
  <c r="K214" i="4"/>
  <c r="J214" i="4"/>
  <c r="I12" i="3"/>
  <c r="M12" i="3"/>
  <c r="S241" i="28" s="1"/>
  <c r="I10" i="3"/>
  <c r="M10" i="3"/>
  <c r="M11" i="3"/>
  <c r="I11" i="3"/>
  <c r="K310" i="29" l="1"/>
  <c r="O128" i="28"/>
  <c r="O98" i="28"/>
  <c r="S177" i="24"/>
  <c r="V95" i="24" s="1"/>
  <c r="V134" i="24" s="1"/>
  <c r="K279" i="23"/>
  <c r="S167" i="4"/>
  <c r="V85" i="4" s="1"/>
  <c r="S270" i="29"/>
  <c r="W104" i="29" s="1"/>
  <c r="W143" i="29" s="1"/>
  <c r="S168" i="31"/>
  <c r="S166" i="30"/>
  <c r="S142" i="25"/>
  <c r="S169" i="29"/>
  <c r="S147" i="27"/>
  <c r="S157" i="28"/>
  <c r="S154" i="24"/>
  <c r="S154" i="23"/>
  <c r="S173" i="31"/>
  <c r="S150" i="4"/>
  <c r="S147" i="25"/>
  <c r="S171" i="30"/>
  <c r="S159" i="24"/>
  <c r="S152" i="27"/>
  <c r="S159" i="23"/>
  <c r="S174" i="29"/>
  <c r="S162" i="28"/>
  <c r="S145" i="4"/>
  <c r="V73" i="4" s="1"/>
  <c r="S226" i="27"/>
  <c r="S192" i="29"/>
  <c r="V104" i="29" s="1"/>
  <c r="V143" i="29" s="1"/>
  <c r="S170" i="31"/>
  <c r="S168" i="30"/>
  <c r="S171" i="29"/>
  <c r="S159" i="28"/>
  <c r="S156" i="24"/>
  <c r="S156" i="23"/>
  <c r="S149" i="27"/>
  <c r="S174" i="30"/>
  <c r="S177" i="29"/>
  <c r="S162" i="24"/>
  <c r="S147" i="4"/>
  <c r="S176" i="31"/>
  <c r="S162" i="23"/>
  <c r="S153" i="4"/>
  <c r="S155" i="27"/>
  <c r="S246" i="24"/>
  <c r="W95" i="24" s="1"/>
  <c r="W134" i="24" s="1"/>
  <c r="S238" i="25"/>
  <c r="W80" i="25" s="1"/>
  <c r="W119" i="25" s="1"/>
  <c r="S165" i="25"/>
  <c r="V80" i="25" s="1"/>
  <c r="V119" i="25" s="1"/>
  <c r="S234" i="4"/>
  <c r="W84" i="4" s="1"/>
  <c r="W123" i="4" s="1"/>
  <c r="S165" i="28"/>
  <c r="S177" i="23"/>
  <c r="V95" i="23" s="1"/>
  <c r="V134" i="23" s="1"/>
  <c r="S169" i="31"/>
  <c r="S167" i="30"/>
  <c r="S143" i="25"/>
  <c r="S170" i="29"/>
  <c r="S148" i="27"/>
  <c r="S158" i="28"/>
  <c r="S155" i="24"/>
  <c r="S155" i="23"/>
  <c r="S174" i="31"/>
  <c r="S153" i="27"/>
  <c r="S175" i="29"/>
  <c r="S160" i="23"/>
  <c r="S148" i="25"/>
  <c r="S151" i="4"/>
  <c r="S160" i="24"/>
  <c r="S172" i="30"/>
  <c r="S163" i="28"/>
  <c r="S146" i="4"/>
  <c r="S244" i="30"/>
  <c r="S247" i="31"/>
  <c r="S223" i="24"/>
  <c r="S215" i="25"/>
  <c r="S247" i="29"/>
  <c r="S233" i="28"/>
  <c r="S218" i="27"/>
  <c r="S222" i="23"/>
  <c r="S220" i="25"/>
  <c r="S218" i="4"/>
  <c r="S252" i="31"/>
  <c r="S249" i="30"/>
  <c r="S227" i="23"/>
  <c r="S252" i="29"/>
  <c r="S223" i="27"/>
  <c r="S213" i="4"/>
  <c r="S228" i="24"/>
  <c r="S238" i="28"/>
  <c r="S249" i="31"/>
  <c r="S246" i="30"/>
  <c r="S249" i="29"/>
  <c r="S235" i="28"/>
  <c r="W81" i="28" s="1"/>
  <c r="S225" i="24"/>
  <c r="S224" i="23"/>
  <c r="S220" i="27"/>
  <c r="S215" i="4"/>
  <c r="S230" i="23"/>
  <c r="S231" i="24"/>
  <c r="S252" i="30"/>
  <c r="S255" i="29"/>
  <c r="S221" i="4"/>
  <c r="S255" i="31"/>
  <c r="S236" i="4"/>
  <c r="W86" i="4" s="1"/>
  <c r="W125" i="4" s="1"/>
  <c r="S245" i="30"/>
  <c r="S248" i="31"/>
  <c r="S248" i="29"/>
  <c r="S234" i="28"/>
  <c r="S216" i="25"/>
  <c r="S219" i="27"/>
  <c r="S224" i="24"/>
  <c r="S223" i="23"/>
  <c r="S221" i="25"/>
  <c r="S250" i="30"/>
  <c r="S229" i="24"/>
  <c r="S228" i="23"/>
  <c r="S219" i="4"/>
  <c r="S253" i="31"/>
  <c r="S224" i="27"/>
  <c r="S253" i="29"/>
  <c r="S239" i="28"/>
  <c r="S214" i="4"/>
  <c r="S245" i="23"/>
  <c r="W95" i="23" s="1"/>
  <c r="W134" i="23" s="1"/>
  <c r="K272" i="25"/>
  <c r="H290" i="28"/>
  <c r="K280" i="24"/>
  <c r="N81" i="23"/>
  <c r="N107" i="23" s="1"/>
  <c r="S175" i="23"/>
  <c r="V93" i="23" s="1"/>
  <c r="V132" i="23" s="1"/>
  <c r="O100" i="31"/>
  <c r="F68" i="25"/>
  <c r="J199" i="25"/>
  <c r="U129" i="30"/>
  <c r="U126" i="30" s="1"/>
  <c r="U87" i="30"/>
  <c r="O128" i="31"/>
  <c r="O140" i="31" s="1"/>
  <c r="G101" i="31"/>
  <c r="J247" i="29"/>
  <c r="K247" i="29"/>
  <c r="N98" i="30"/>
  <c r="J227" i="30"/>
  <c r="J272" i="25"/>
  <c r="G68" i="25"/>
  <c r="S189" i="30"/>
  <c r="V101" i="30" s="1"/>
  <c r="N89" i="30"/>
  <c r="N115" i="30" s="1"/>
  <c r="O82" i="23"/>
  <c r="O108" i="23" s="1"/>
  <c r="S244" i="23"/>
  <c r="W94" i="23" s="1"/>
  <c r="W133" i="23" s="1"/>
  <c r="S191" i="29"/>
  <c r="V103" i="29" s="1"/>
  <c r="V142" i="29" s="1"/>
  <c r="N91" i="29"/>
  <c r="N117" i="29" s="1"/>
  <c r="F83" i="23"/>
  <c r="J211" i="23"/>
  <c r="N90" i="31"/>
  <c r="N116" i="31" s="1"/>
  <c r="S190" i="31"/>
  <c r="V102" i="31" s="1"/>
  <c r="N82" i="24"/>
  <c r="N108" i="24" s="1"/>
  <c r="S176" i="24"/>
  <c r="V94" i="24" s="1"/>
  <c r="V133" i="24" s="1"/>
  <c r="U131" i="31"/>
  <c r="U128" i="31" s="1"/>
  <c r="U89" i="31"/>
  <c r="S267" i="30"/>
  <c r="W101" i="30" s="1"/>
  <c r="O89" i="30"/>
  <c r="O115" i="30" s="1"/>
  <c r="N81" i="24"/>
  <c r="N107" i="24" s="1"/>
  <c r="S175" i="24"/>
  <c r="V93" i="24" s="1"/>
  <c r="V132" i="24" s="1"/>
  <c r="K221" i="24"/>
  <c r="J221" i="24"/>
  <c r="S243" i="23"/>
  <c r="W93" i="23" s="1"/>
  <c r="W132" i="23" s="1"/>
  <c r="O81" i="23"/>
  <c r="O107" i="23" s="1"/>
  <c r="N126" i="30"/>
  <c r="N138" i="30" s="1"/>
  <c r="F99" i="30"/>
  <c r="O91" i="29"/>
  <c r="O117" i="29" s="1"/>
  <c r="S269" i="29"/>
  <c r="W103" i="29" s="1"/>
  <c r="W142" i="29" s="1"/>
  <c r="U123" i="23"/>
  <c r="U120" i="23" s="1"/>
  <c r="U81" i="23"/>
  <c r="O126" i="30"/>
  <c r="O138" i="30" s="1"/>
  <c r="G99" i="30"/>
  <c r="O101" i="29"/>
  <c r="K168" i="29"/>
  <c r="J168" i="29"/>
  <c r="K152" i="24"/>
  <c r="J152" i="24"/>
  <c r="S244" i="24"/>
  <c r="W93" i="24" s="1"/>
  <c r="W132" i="24" s="1"/>
  <c r="O81" i="24"/>
  <c r="O107" i="24" s="1"/>
  <c r="J165" i="28"/>
  <c r="K165" i="28"/>
  <c r="K214" i="28" s="1"/>
  <c r="F155" i="28"/>
  <c r="F214" i="28"/>
  <c r="K226" i="27"/>
  <c r="K275" i="27" s="1"/>
  <c r="J226" i="27"/>
  <c r="F216" i="27"/>
  <c r="F275" i="27"/>
  <c r="N67" i="25"/>
  <c r="N93" i="25" s="1"/>
  <c r="S164" i="25"/>
  <c r="V79" i="25" s="1"/>
  <c r="V118" i="25" s="1"/>
  <c r="S191" i="31"/>
  <c r="V103" i="31" s="1"/>
  <c r="N91" i="31"/>
  <c r="N117" i="31" s="1"/>
  <c r="U120" i="28"/>
  <c r="U117" i="28" s="1"/>
  <c r="U78" i="28"/>
  <c r="K155" i="27"/>
  <c r="K204" i="27" s="1"/>
  <c r="J155" i="27"/>
  <c r="F145" i="27"/>
  <c r="F204" i="27"/>
  <c r="S190" i="29"/>
  <c r="V102" i="29" s="1"/>
  <c r="V141" i="29" s="1"/>
  <c r="N90" i="29"/>
  <c r="N116" i="29" s="1"/>
  <c r="N89" i="31"/>
  <c r="S189" i="31"/>
  <c r="V101" i="31" s="1"/>
  <c r="O87" i="30"/>
  <c r="S265" i="30"/>
  <c r="W99" i="30" s="1"/>
  <c r="G83" i="24"/>
  <c r="J280" i="24"/>
  <c r="G83" i="23"/>
  <c r="J279" i="23"/>
  <c r="S188" i="30"/>
  <c r="V100" i="30" s="1"/>
  <c r="N88" i="30"/>
  <c r="N114" i="30" s="1"/>
  <c r="S266" i="30"/>
  <c r="W100" i="30" s="1"/>
  <c r="O88" i="30"/>
  <c r="O114" i="30" s="1"/>
  <c r="G216" i="27"/>
  <c r="G275" i="27"/>
  <c r="N128" i="31"/>
  <c r="N140" i="31" s="1"/>
  <c r="F101" i="31"/>
  <c r="U123" i="24"/>
  <c r="U120" i="24" s="1"/>
  <c r="U81" i="24"/>
  <c r="G204" i="27"/>
  <c r="G145" i="27"/>
  <c r="N101" i="29"/>
  <c r="J231" i="29"/>
  <c r="J166" i="31"/>
  <c r="K166" i="31"/>
  <c r="F83" i="24"/>
  <c r="J211" i="24"/>
  <c r="K242" i="30"/>
  <c r="J242" i="30"/>
  <c r="K220" i="23"/>
  <c r="J220" i="23"/>
  <c r="J241" i="28"/>
  <c r="K241" i="28"/>
  <c r="K290" i="28" s="1"/>
  <c r="F290" i="28"/>
  <c r="F231" i="28"/>
  <c r="G214" i="28"/>
  <c r="G155" i="28"/>
  <c r="H216" i="27"/>
  <c r="O81" i="27" s="1"/>
  <c r="H275" i="27"/>
  <c r="S245" i="24"/>
  <c r="W94" i="24" s="1"/>
  <c r="W133" i="24" s="1"/>
  <c r="O82" i="24"/>
  <c r="O108" i="24" s="1"/>
  <c r="S163" i="25"/>
  <c r="V78" i="25" s="1"/>
  <c r="V117" i="25" s="1"/>
  <c r="N66" i="25"/>
  <c r="N92" i="25" s="1"/>
  <c r="U114" i="27"/>
  <c r="U111" i="27" s="1"/>
  <c r="U72" i="27"/>
  <c r="H145" i="27"/>
  <c r="N81" i="27" s="1"/>
  <c r="H204" i="27"/>
  <c r="O98" i="30"/>
  <c r="J213" i="25"/>
  <c r="K213" i="25"/>
  <c r="G290" i="28"/>
  <c r="G231" i="28"/>
  <c r="H155" i="28"/>
  <c r="N87" i="28" s="1"/>
  <c r="H214" i="28"/>
  <c r="O89" i="31"/>
  <c r="S268" i="31"/>
  <c r="W101" i="31" s="1"/>
  <c r="J140" i="25"/>
  <c r="K140" i="25"/>
  <c r="U132" i="29"/>
  <c r="U129" i="29" s="1"/>
  <c r="U90" i="29"/>
  <c r="O67" i="25"/>
  <c r="O93" i="25" s="1"/>
  <c r="S237" i="25"/>
  <c r="W79" i="25" s="1"/>
  <c r="W118" i="25" s="1"/>
  <c r="N87" i="30"/>
  <c r="S187" i="30"/>
  <c r="V99" i="30" s="1"/>
  <c r="N100" i="31"/>
  <c r="J230" i="31"/>
  <c r="O66" i="25"/>
  <c r="O92" i="25" s="1"/>
  <c r="S236" i="25"/>
  <c r="W78" i="25" s="1"/>
  <c r="W117" i="25" s="1"/>
  <c r="G117" i="28"/>
  <c r="J152" i="23"/>
  <c r="K152" i="23"/>
  <c r="K245" i="31"/>
  <c r="J245" i="31"/>
  <c r="U108" i="25"/>
  <c r="U105" i="25" s="1"/>
  <c r="U66" i="25"/>
  <c r="O91" i="31"/>
  <c r="O117" i="31" s="1"/>
  <c r="S270" i="31"/>
  <c r="W103" i="31" s="1"/>
  <c r="O90" i="29"/>
  <c r="O116" i="29" s="1"/>
  <c r="S268" i="29"/>
  <c r="W102" i="29" s="1"/>
  <c r="W141" i="29" s="1"/>
  <c r="K164" i="30"/>
  <c r="J164" i="30"/>
  <c r="S269" i="31"/>
  <c r="W102" i="31" s="1"/>
  <c r="O90" i="31"/>
  <c r="O116" i="31" s="1"/>
  <c r="F117" i="28"/>
  <c r="S176" i="23"/>
  <c r="V94" i="23" s="1"/>
  <c r="V133" i="23" s="1"/>
  <c r="N82" i="23"/>
  <c r="N108" i="23" s="1"/>
  <c r="O83" i="24"/>
  <c r="O109" i="24" s="1"/>
  <c r="N118" i="29"/>
  <c r="O118" i="29"/>
  <c r="N94" i="25"/>
  <c r="O94" i="25"/>
  <c r="O109" i="23"/>
  <c r="N109" i="23"/>
  <c r="N109" i="24"/>
  <c r="K211" i="4"/>
  <c r="N92" i="4"/>
  <c r="N111" i="4"/>
  <c r="N122" i="4" s="1"/>
  <c r="S168" i="4"/>
  <c r="V86" i="4" s="1"/>
  <c r="V125" i="4" s="1"/>
  <c r="J143" i="4"/>
  <c r="S166" i="4"/>
  <c r="V84" i="4" s="1"/>
  <c r="V123" i="4" s="1"/>
  <c r="N74" i="4"/>
  <c r="N100" i="4" s="1"/>
  <c r="K143" i="4"/>
  <c r="K270" i="4"/>
  <c r="N72" i="4"/>
  <c r="N98" i="4" s="1"/>
  <c r="J270" i="4"/>
  <c r="O74" i="4"/>
  <c r="O100" i="4" s="1"/>
  <c r="N73" i="4"/>
  <c r="N99" i="4" s="1"/>
  <c r="O72" i="4"/>
  <c r="O98" i="4" s="1"/>
  <c r="U114" i="4"/>
  <c r="U111" i="4" s="1"/>
  <c r="U72" i="4"/>
  <c r="W124" i="4"/>
  <c r="G72" i="4"/>
  <c r="G111" i="4" s="1"/>
  <c r="G74" i="4"/>
  <c r="G113" i="4" s="1"/>
  <c r="G73" i="4"/>
  <c r="G112" i="4" s="1"/>
  <c r="E23" i="3"/>
  <c r="S57" i="12"/>
  <c r="S55" i="12"/>
  <c r="S56" i="12"/>
  <c r="R55" i="12"/>
  <c r="R56" i="12"/>
  <c r="R57" i="12"/>
  <c r="R54" i="12"/>
  <c r="Q55" i="12"/>
  <c r="Q56" i="12"/>
  <c r="Q57" i="12"/>
  <c r="Q54" i="12"/>
  <c r="R60" i="12"/>
  <c r="S60" i="12"/>
  <c r="Q68" i="12"/>
  <c r="Q67" i="12" s="1"/>
  <c r="R68" i="12"/>
  <c r="R67" i="12" s="1"/>
  <c r="S68" i="12"/>
  <c r="S67" i="12" s="1"/>
  <c r="Q72" i="12"/>
  <c r="R72" i="12"/>
  <c r="S72" i="12"/>
  <c r="Q37" i="12"/>
  <c r="Q35" i="12" s="1"/>
  <c r="R37" i="12"/>
  <c r="S37" i="12"/>
  <c r="R38" i="12"/>
  <c r="S38" i="12"/>
  <c r="Q46" i="12"/>
  <c r="R46" i="12"/>
  <c r="Q42" i="12"/>
  <c r="Q41" i="12" s="1"/>
  <c r="R42" i="12"/>
  <c r="R41" i="12" s="1"/>
  <c r="S42" i="12"/>
  <c r="S41" i="12" s="1"/>
  <c r="S49" i="12"/>
  <c r="R50" i="12"/>
  <c r="S50" i="12"/>
  <c r="R51" i="12"/>
  <c r="S51" i="12"/>
  <c r="R64" i="12"/>
  <c r="R62" i="12" s="1"/>
  <c r="S64" i="12"/>
  <c r="S62" i="12" s="1"/>
  <c r="S36" i="12"/>
  <c r="R36" i="12"/>
  <c r="S33" i="12"/>
  <c r="R33" i="12"/>
  <c r="S32" i="12"/>
  <c r="S29" i="12"/>
  <c r="R32" i="12"/>
  <c r="R29" i="12"/>
  <c r="S17" i="12"/>
  <c r="S28" i="12"/>
  <c r="R17" i="12"/>
  <c r="R28" i="12"/>
  <c r="R16" i="12"/>
  <c r="Q32" i="12"/>
  <c r="Q33" i="12"/>
  <c r="Q29" i="12"/>
  <c r="Q28" i="12"/>
  <c r="Q17" i="12"/>
  <c r="Q16" i="12"/>
  <c r="W90" i="30" l="1"/>
  <c r="W129" i="30" s="1"/>
  <c r="V83" i="24"/>
  <c r="V122" i="24" s="1"/>
  <c r="V81" i="28"/>
  <c r="V120" i="28" s="1"/>
  <c r="Q15" i="12"/>
  <c r="S15" i="12"/>
  <c r="R15" i="12"/>
  <c r="R31" i="12"/>
  <c r="Q31" i="12"/>
  <c r="S31" i="12"/>
  <c r="W82" i="24"/>
  <c r="W121" i="24" s="1"/>
  <c r="W92" i="31"/>
  <c r="W131" i="31" s="1"/>
  <c r="V67" i="25"/>
  <c r="E99" i="31"/>
  <c r="E97" i="30"/>
  <c r="E90" i="30"/>
  <c r="M129" i="30" s="1"/>
  <c r="E92" i="31"/>
  <c r="M131" i="31" s="1"/>
  <c r="M78" i="25"/>
  <c r="M108" i="25" s="1"/>
  <c r="M84" i="27"/>
  <c r="M114" i="27" s="1"/>
  <c r="M90" i="28"/>
  <c r="M120" i="28" s="1"/>
  <c r="E93" i="29"/>
  <c r="M132" i="29" s="1"/>
  <c r="M93" i="24"/>
  <c r="M123" i="24" s="1"/>
  <c r="M93" i="23"/>
  <c r="M123" i="23" s="1"/>
  <c r="E88" i="30"/>
  <c r="M127" i="30" s="1"/>
  <c r="E90" i="31"/>
  <c r="M129" i="31" s="1"/>
  <c r="E91" i="29"/>
  <c r="M130" i="29" s="1"/>
  <c r="M91" i="24"/>
  <c r="M121" i="24" s="1"/>
  <c r="M76" i="25"/>
  <c r="M106" i="25" s="1"/>
  <c r="M82" i="27"/>
  <c r="M112" i="27" s="1"/>
  <c r="M88" i="28"/>
  <c r="M118" i="28" s="1"/>
  <c r="M91" i="23"/>
  <c r="M121" i="23" s="1"/>
  <c r="M89" i="4"/>
  <c r="E96" i="30"/>
  <c r="E98" i="31"/>
  <c r="E99" i="29"/>
  <c r="M83" i="25"/>
  <c r="M98" i="24"/>
  <c r="M89" i="27"/>
  <c r="M95" i="28"/>
  <c r="M98" i="23"/>
  <c r="M88" i="4"/>
  <c r="E95" i="30"/>
  <c r="E97" i="31"/>
  <c r="M97" i="24"/>
  <c r="M82" i="25"/>
  <c r="M88" i="27"/>
  <c r="M94" i="28"/>
  <c r="E98" i="29"/>
  <c r="M97" i="23"/>
  <c r="E100" i="31"/>
  <c r="M139" i="31" s="1"/>
  <c r="E98" i="30"/>
  <c r="M137" i="30" s="1"/>
  <c r="W73" i="27"/>
  <c r="W112" i="27" s="1"/>
  <c r="V88" i="30"/>
  <c r="V127" i="30" s="1"/>
  <c r="V91" i="31"/>
  <c r="V130" i="31" s="1"/>
  <c r="V74" i="4"/>
  <c r="V113" i="4" s="1"/>
  <c r="W68" i="25"/>
  <c r="W107" i="25" s="1"/>
  <c r="W79" i="28"/>
  <c r="W74" i="27"/>
  <c r="W113" i="27" s="1"/>
  <c r="V75" i="27"/>
  <c r="V89" i="30"/>
  <c r="V128" i="30" s="1"/>
  <c r="V82" i="23"/>
  <c r="W74" i="4"/>
  <c r="W89" i="30"/>
  <c r="W128" i="30" s="1"/>
  <c r="V68" i="25"/>
  <c r="V66" i="25" s="1"/>
  <c r="W84" i="23"/>
  <c r="W123" i="23" s="1"/>
  <c r="V82" i="24"/>
  <c r="V121" i="24" s="1"/>
  <c r="W91" i="31"/>
  <c r="W83" i="23"/>
  <c r="W82" i="23"/>
  <c r="W121" i="23" s="1"/>
  <c r="V92" i="31"/>
  <c r="V79" i="28"/>
  <c r="V118" i="28" s="1"/>
  <c r="W83" i="24"/>
  <c r="W122" i="24" s="1"/>
  <c r="W84" i="24"/>
  <c r="W123" i="24" s="1"/>
  <c r="W88" i="30"/>
  <c r="W127" i="30" s="1"/>
  <c r="W120" i="28"/>
  <c r="V84" i="23"/>
  <c r="W90" i="31"/>
  <c r="W75" i="27"/>
  <c r="V106" i="25"/>
  <c r="W80" i="28"/>
  <c r="V75" i="4"/>
  <c r="V112" i="4"/>
  <c r="W67" i="25"/>
  <c r="W73" i="4"/>
  <c r="V92" i="29"/>
  <c r="V93" i="29"/>
  <c r="V91" i="29"/>
  <c r="W92" i="29"/>
  <c r="V84" i="24"/>
  <c r="V90" i="31"/>
  <c r="W75" i="4"/>
  <c r="V74" i="27"/>
  <c r="V90" i="30"/>
  <c r="V83" i="23"/>
  <c r="W93" i="29"/>
  <c r="W91" i="29"/>
  <c r="V80" i="28"/>
  <c r="V73" i="27"/>
  <c r="W77" i="25"/>
  <c r="O84" i="23"/>
  <c r="O110" i="23" s="1"/>
  <c r="N93" i="29"/>
  <c r="N119" i="29" s="1"/>
  <c r="N84" i="24"/>
  <c r="N110" i="24" s="1"/>
  <c r="O93" i="29"/>
  <c r="O119" i="29" s="1"/>
  <c r="W101" i="29"/>
  <c r="O84" i="24"/>
  <c r="O110" i="24" s="1"/>
  <c r="W116" i="25"/>
  <c r="V116" i="25"/>
  <c r="O80" i="28"/>
  <c r="O106" i="28" s="1"/>
  <c r="S256" i="28"/>
  <c r="W92" i="28" s="1"/>
  <c r="W131" i="28" s="1"/>
  <c r="O69" i="25"/>
  <c r="O95" i="25" s="1"/>
  <c r="V131" i="24"/>
  <c r="V92" i="24"/>
  <c r="N69" i="25"/>
  <c r="N95" i="25" s="1"/>
  <c r="V77" i="25"/>
  <c r="N84" i="23"/>
  <c r="N110" i="23" s="1"/>
  <c r="W140" i="29"/>
  <c r="V101" i="29"/>
  <c r="W131" i="23"/>
  <c r="V140" i="29"/>
  <c r="V92" i="23"/>
  <c r="W92" i="23"/>
  <c r="V131" i="23"/>
  <c r="W92" i="24"/>
  <c r="W131" i="24"/>
  <c r="G128" i="30"/>
  <c r="G133" i="30" s="1"/>
  <c r="O103" i="30"/>
  <c r="S254" i="28"/>
  <c r="W90" i="28" s="1"/>
  <c r="O78" i="28"/>
  <c r="F122" i="24"/>
  <c r="F127" i="24" s="1"/>
  <c r="F88" i="24"/>
  <c r="N73" i="27"/>
  <c r="N99" i="27" s="1"/>
  <c r="S169" i="27"/>
  <c r="V85" i="27" s="1"/>
  <c r="V124" i="27" s="1"/>
  <c r="G122" i="23"/>
  <c r="G127" i="23" s="1"/>
  <c r="G88" i="23"/>
  <c r="J216" i="27"/>
  <c r="K216" i="27"/>
  <c r="F80" i="28"/>
  <c r="J214" i="28"/>
  <c r="F128" i="30"/>
  <c r="F133" i="30" s="1"/>
  <c r="N103" i="30"/>
  <c r="F107" i="25"/>
  <c r="F112" i="25" s="1"/>
  <c r="F73" i="25"/>
  <c r="N80" i="28"/>
  <c r="N106" i="28" s="1"/>
  <c r="S180" i="28"/>
  <c r="V92" i="28" s="1"/>
  <c r="V131" i="28" s="1"/>
  <c r="N74" i="27"/>
  <c r="N100" i="27" s="1"/>
  <c r="S170" i="27"/>
  <c r="V86" i="27" s="1"/>
  <c r="V125" i="27" s="1"/>
  <c r="W139" i="30"/>
  <c r="G74" i="27"/>
  <c r="J275" i="27"/>
  <c r="G131" i="29"/>
  <c r="G136" i="29" s="1"/>
  <c r="O106" i="29"/>
  <c r="W140" i="31"/>
  <c r="W100" i="31"/>
  <c r="N117" i="28"/>
  <c r="N128" i="28" s="1"/>
  <c r="N98" i="28"/>
  <c r="N111" i="27"/>
  <c r="N122" i="27" s="1"/>
  <c r="N92" i="27"/>
  <c r="S241" i="27"/>
  <c r="W86" i="27" s="1"/>
  <c r="W125" i="27" s="1"/>
  <c r="O74" i="27"/>
  <c r="O100" i="27" s="1"/>
  <c r="G80" i="28"/>
  <c r="J290" i="28"/>
  <c r="G122" i="24"/>
  <c r="G127" i="24" s="1"/>
  <c r="G88" i="24"/>
  <c r="V141" i="31"/>
  <c r="E90" i="29"/>
  <c r="M129" i="29" s="1"/>
  <c r="M75" i="25"/>
  <c r="M105" i="25" s="1"/>
  <c r="M90" i="24"/>
  <c r="M120" i="24" s="1"/>
  <c r="M90" i="23"/>
  <c r="M120" i="23" s="1"/>
  <c r="M87" i="28"/>
  <c r="M117" i="28" s="1"/>
  <c r="M81" i="27"/>
  <c r="M111" i="27" s="1"/>
  <c r="E89" i="31"/>
  <c r="E87" i="30"/>
  <c r="F130" i="31"/>
  <c r="F135" i="31" s="1"/>
  <c r="N105" i="31"/>
  <c r="O115" i="31"/>
  <c r="O92" i="31"/>
  <c r="O118" i="31" s="1"/>
  <c r="O111" i="27"/>
  <c r="O122" i="27" s="1"/>
  <c r="O92" i="27"/>
  <c r="W98" i="30"/>
  <c r="W138" i="30"/>
  <c r="S168" i="27"/>
  <c r="V84" i="27" s="1"/>
  <c r="N72" i="27"/>
  <c r="V142" i="31"/>
  <c r="V140" i="30"/>
  <c r="G130" i="31"/>
  <c r="G135" i="31" s="1"/>
  <c r="O105" i="31"/>
  <c r="W142" i="31"/>
  <c r="S255" i="28"/>
  <c r="W91" i="28" s="1"/>
  <c r="W130" i="28" s="1"/>
  <c r="O79" i="28"/>
  <c r="O105" i="28" s="1"/>
  <c r="F131" i="29"/>
  <c r="F136" i="29" s="1"/>
  <c r="N106" i="29"/>
  <c r="O113" i="30"/>
  <c r="O90" i="30"/>
  <c r="O116" i="30" s="1"/>
  <c r="J145" i="27"/>
  <c r="K145" i="27"/>
  <c r="G107" i="25"/>
  <c r="G112" i="25" s="1"/>
  <c r="G73" i="25"/>
  <c r="V98" i="30"/>
  <c r="V138" i="30"/>
  <c r="K155" i="28"/>
  <c r="O73" i="27"/>
  <c r="O99" i="27" s="1"/>
  <c r="S240" i="27"/>
  <c r="W85" i="27" s="1"/>
  <c r="W124" i="27" s="1"/>
  <c r="V140" i="31"/>
  <c r="V100" i="31"/>
  <c r="F74" i="27"/>
  <c r="J204" i="27"/>
  <c r="N78" i="28"/>
  <c r="S178" i="28"/>
  <c r="V90" i="28" s="1"/>
  <c r="W140" i="30"/>
  <c r="F122" i="23"/>
  <c r="F127" i="23" s="1"/>
  <c r="F88" i="23"/>
  <c r="W141" i="31"/>
  <c r="N113" i="30"/>
  <c r="N90" i="30"/>
  <c r="N116" i="30" s="1"/>
  <c r="N79" i="28"/>
  <c r="N105" i="28" s="1"/>
  <c r="S179" i="28"/>
  <c r="V91" i="28" s="1"/>
  <c r="V130" i="28" s="1"/>
  <c r="V139" i="30"/>
  <c r="N115" i="31"/>
  <c r="N92" i="31"/>
  <c r="N118" i="31" s="1"/>
  <c r="J155" i="28"/>
  <c r="J231" i="28"/>
  <c r="K231" i="28"/>
  <c r="S239" i="27"/>
  <c r="W84" i="27" s="1"/>
  <c r="O72" i="27"/>
  <c r="M91" i="4"/>
  <c r="M121" i="4" s="1"/>
  <c r="M85" i="25"/>
  <c r="M115" i="25" s="1"/>
  <c r="M100" i="24"/>
  <c r="M130" i="24" s="1"/>
  <c r="M97" i="28"/>
  <c r="M127" i="28" s="1"/>
  <c r="E101" i="29"/>
  <c r="M140" i="29" s="1"/>
  <c r="M91" i="27"/>
  <c r="M121" i="27" s="1"/>
  <c r="M100" i="23"/>
  <c r="M130" i="23" s="1"/>
  <c r="M90" i="4"/>
  <c r="E100" i="29"/>
  <c r="M99" i="24"/>
  <c r="M90" i="27"/>
  <c r="M96" i="28"/>
  <c r="M84" i="25"/>
  <c r="M99" i="23"/>
  <c r="M82" i="4"/>
  <c r="M112" i="4" s="1"/>
  <c r="M81" i="4"/>
  <c r="M84" i="4"/>
  <c r="M114" i="4" s="1"/>
  <c r="W122" i="4"/>
  <c r="V83" i="4"/>
  <c r="V124" i="4"/>
  <c r="V122" i="4" s="1"/>
  <c r="W83" i="4"/>
  <c r="S48" i="12"/>
  <c r="R48" i="12"/>
  <c r="U67" i="12"/>
  <c r="V67" i="12"/>
  <c r="V41" i="12"/>
  <c r="U41" i="12"/>
  <c r="U62" i="12"/>
  <c r="V62" i="12"/>
  <c r="R35" i="12"/>
  <c r="U35" i="12" s="1"/>
  <c r="S35" i="12"/>
  <c r="Q53" i="12"/>
  <c r="U57" i="12"/>
  <c r="U56" i="12"/>
  <c r="U54" i="12"/>
  <c r="U68" i="12"/>
  <c r="U60" i="12"/>
  <c r="U55" i="12"/>
  <c r="U33" i="12"/>
  <c r="U72" i="12"/>
  <c r="U36" i="12"/>
  <c r="U64" i="12"/>
  <c r="U37" i="12"/>
  <c r="U59" i="12"/>
  <c r="U16" i="12"/>
  <c r="U28" i="12"/>
  <c r="U50" i="12"/>
  <c r="U29" i="12"/>
  <c r="U32" i="12"/>
  <c r="U49" i="12"/>
  <c r="U46" i="12"/>
  <c r="U51" i="12"/>
  <c r="U17" i="12"/>
  <c r="U42" i="12"/>
  <c r="U38" i="12"/>
  <c r="V72" i="12"/>
  <c r="V42" i="12"/>
  <c r="V51" i="12"/>
  <c r="V28" i="12"/>
  <c r="V37" i="12"/>
  <c r="V18" i="12"/>
  <c r="V68" i="12"/>
  <c r="V29" i="12"/>
  <c r="V50" i="12"/>
  <c r="V33" i="12"/>
  <c r="V36" i="12"/>
  <c r="V59" i="12"/>
  <c r="V60" i="12"/>
  <c r="V32" i="12"/>
  <c r="V49" i="12"/>
  <c r="V54" i="12"/>
  <c r="V16" i="12"/>
  <c r="V57" i="12"/>
  <c r="V17" i="12"/>
  <c r="V38" i="12"/>
  <c r="V56" i="12"/>
  <c r="V64" i="12"/>
  <c r="V55" i="12"/>
  <c r="R53" i="12"/>
  <c r="S53" i="12"/>
  <c r="R74" i="12" l="1"/>
  <c r="V31" i="12"/>
  <c r="U31" i="12"/>
  <c r="Q74" i="12"/>
  <c r="M89" i="31" s="1"/>
  <c r="M115" i="31" s="1"/>
  <c r="U15" i="12"/>
  <c r="V15" i="12"/>
  <c r="M87" i="4"/>
  <c r="M117" i="4" s="1"/>
  <c r="E95" i="31"/>
  <c r="M134" i="31" s="1"/>
  <c r="E93" i="30"/>
  <c r="M132" i="30" s="1"/>
  <c r="E96" i="29"/>
  <c r="M135" i="29" s="1"/>
  <c r="M96" i="24"/>
  <c r="M126" i="24" s="1"/>
  <c r="M87" i="27"/>
  <c r="M117" i="27" s="1"/>
  <c r="M81" i="25"/>
  <c r="M111" i="25" s="1"/>
  <c r="M93" i="28"/>
  <c r="M123" i="28" s="1"/>
  <c r="M96" i="23"/>
  <c r="M126" i="23" s="1"/>
  <c r="E89" i="30"/>
  <c r="M128" i="30" s="1"/>
  <c r="E91" i="31"/>
  <c r="M130" i="31" s="1"/>
  <c r="E92" i="30"/>
  <c r="M131" i="30" s="1"/>
  <c r="E94" i="31"/>
  <c r="M133" i="31" s="1"/>
  <c r="W118" i="28"/>
  <c r="W130" i="31"/>
  <c r="V121" i="23"/>
  <c r="V81" i="23"/>
  <c r="V107" i="25"/>
  <c r="V105" i="25" s="1"/>
  <c r="V120" i="25" s="1"/>
  <c r="W122" i="23"/>
  <c r="W120" i="23" s="1"/>
  <c r="W135" i="23" s="1"/>
  <c r="V114" i="27"/>
  <c r="W87" i="30"/>
  <c r="V81" i="25"/>
  <c r="V83" i="25" s="1"/>
  <c r="W81" i="23"/>
  <c r="W81" i="24"/>
  <c r="V81" i="24"/>
  <c r="W113" i="4"/>
  <c r="W120" i="24"/>
  <c r="W135" i="24" s="1"/>
  <c r="W126" i="30"/>
  <c r="V131" i="31"/>
  <c r="W114" i="4"/>
  <c r="V119" i="28"/>
  <c r="V117" i="28" s="1"/>
  <c r="W114" i="27"/>
  <c r="W111" i="27" s="1"/>
  <c r="W72" i="27"/>
  <c r="W130" i="29"/>
  <c r="W90" i="29"/>
  <c r="V129" i="30"/>
  <c r="V126" i="30" s="1"/>
  <c r="V130" i="29"/>
  <c r="V90" i="29"/>
  <c r="V87" i="30"/>
  <c r="W132" i="29"/>
  <c r="V113" i="27"/>
  <c r="V129" i="31"/>
  <c r="V128" i="31" s="1"/>
  <c r="V89" i="31"/>
  <c r="V132" i="29"/>
  <c r="W129" i="31"/>
  <c r="W89" i="31"/>
  <c r="V123" i="24"/>
  <c r="V120" i="24" s="1"/>
  <c r="V135" i="24" s="1"/>
  <c r="W106" i="25"/>
  <c r="W105" i="25" s="1"/>
  <c r="W120" i="25" s="1"/>
  <c r="W66" i="25"/>
  <c r="V78" i="28"/>
  <c r="V112" i="27"/>
  <c r="V72" i="27"/>
  <c r="V122" i="23"/>
  <c r="W131" i="29"/>
  <c r="V131" i="29"/>
  <c r="V123" i="23"/>
  <c r="W112" i="4"/>
  <c r="W72" i="4"/>
  <c r="W119" i="28"/>
  <c r="W78" i="28"/>
  <c r="V114" i="4"/>
  <c r="V111" i="4" s="1"/>
  <c r="V126" i="4" s="1"/>
  <c r="V72" i="4"/>
  <c r="W139" i="31"/>
  <c r="V129" i="28"/>
  <c r="V128" i="28" s="1"/>
  <c r="V89" i="28"/>
  <c r="N98" i="27"/>
  <c r="N75" i="27"/>
  <c r="N101" i="27" s="1"/>
  <c r="N104" i="28"/>
  <c r="N81" i="28"/>
  <c r="N107" i="28" s="1"/>
  <c r="V123" i="27"/>
  <c r="V122" i="27" s="1"/>
  <c r="V83" i="27"/>
  <c r="G119" i="28"/>
  <c r="G124" i="28" s="1"/>
  <c r="G85" i="28"/>
  <c r="M102" i="30"/>
  <c r="E132" i="30" s="1"/>
  <c r="M104" i="31"/>
  <c r="E134" i="31" s="1"/>
  <c r="E87" i="24"/>
  <c r="E126" i="24" s="1"/>
  <c r="E78" i="27"/>
  <c r="E117" i="27" s="1"/>
  <c r="E84" i="28"/>
  <c r="E123" i="28" s="1"/>
  <c r="E72" i="25"/>
  <c r="E111" i="25" s="1"/>
  <c r="M105" i="29"/>
  <c r="E135" i="29" s="1"/>
  <c r="E87" i="23"/>
  <c r="E126" i="23" s="1"/>
  <c r="O98" i="27"/>
  <c r="O75" i="27"/>
  <c r="O101" i="27" s="1"/>
  <c r="V137" i="30"/>
  <c r="W137" i="30"/>
  <c r="F119" i="28"/>
  <c r="F124" i="28" s="1"/>
  <c r="F85" i="28"/>
  <c r="W123" i="27"/>
  <c r="W122" i="27" s="1"/>
  <c r="W83" i="27"/>
  <c r="F113" i="27"/>
  <c r="F118" i="27" s="1"/>
  <c r="F79" i="27"/>
  <c r="M126" i="30"/>
  <c r="O104" i="28"/>
  <c r="O81" i="28"/>
  <c r="O107" i="28" s="1"/>
  <c r="E73" i="4"/>
  <c r="E112" i="4" s="1"/>
  <c r="M99" i="31"/>
  <c r="E129" i="31" s="1"/>
  <c r="M97" i="30"/>
  <c r="E127" i="30" s="1"/>
  <c r="M100" i="29"/>
  <c r="E130" i="29" s="1"/>
  <c r="E73" i="27"/>
  <c r="E112" i="27" s="1"/>
  <c r="E79" i="28"/>
  <c r="E118" i="28" s="1"/>
  <c r="E67" i="25"/>
  <c r="E106" i="25" s="1"/>
  <c r="E82" i="24"/>
  <c r="E121" i="24" s="1"/>
  <c r="E82" i="23"/>
  <c r="E121" i="23" s="1"/>
  <c r="M128" i="31"/>
  <c r="W129" i="28"/>
  <c r="W128" i="28" s="1"/>
  <c r="W89" i="28"/>
  <c r="E72" i="4"/>
  <c r="E111" i="4" s="1"/>
  <c r="M96" i="30"/>
  <c r="M98" i="31"/>
  <c r="E72" i="27"/>
  <c r="E78" i="28"/>
  <c r="E81" i="24"/>
  <c r="E66" i="25"/>
  <c r="M99" i="29"/>
  <c r="E81" i="23"/>
  <c r="V139" i="31"/>
  <c r="G113" i="27"/>
  <c r="G118" i="27" s="1"/>
  <c r="G79" i="27"/>
  <c r="M83" i="4"/>
  <c r="M113" i="4" s="1"/>
  <c r="E92" i="29"/>
  <c r="M131" i="29" s="1"/>
  <c r="M83" i="27"/>
  <c r="M113" i="27" s="1"/>
  <c r="M77" i="25"/>
  <c r="M107" i="25" s="1"/>
  <c r="M89" i="28"/>
  <c r="M119" i="28" s="1"/>
  <c r="M92" i="24"/>
  <c r="M122" i="24" s="1"/>
  <c r="M92" i="23"/>
  <c r="M122" i="23" s="1"/>
  <c r="M86" i="4"/>
  <c r="M116" i="4" s="1"/>
  <c r="M86" i="27"/>
  <c r="M80" i="25"/>
  <c r="E95" i="29"/>
  <c r="M95" i="24"/>
  <c r="M92" i="28"/>
  <c r="M95" i="23"/>
  <c r="M111" i="4"/>
  <c r="V48" i="12"/>
  <c r="U48" i="12"/>
  <c r="F117" i="4"/>
  <c r="G117" i="4"/>
  <c r="G118" i="4" s="1"/>
  <c r="E78" i="4"/>
  <c r="E117" i="4" s="1"/>
  <c r="U53" i="12"/>
  <c r="V53" i="12"/>
  <c r="V35" i="12"/>
  <c r="M66" i="25" l="1"/>
  <c r="M92" i="25" s="1"/>
  <c r="AB26" i="12"/>
  <c r="U90" i="28" s="1"/>
  <c r="M78" i="28"/>
  <c r="M72" i="4"/>
  <c r="M98" i="4" s="1"/>
  <c r="M90" i="29"/>
  <c r="M116" i="29" s="1"/>
  <c r="M72" i="27"/>
  <c r="M87" i="30"/>
  <c r="M113" i="30" s="1"/>
  <c r="M81" i="23"/>
  <c r="M107" i="23" s="1"/>
  <c r="M81" i="24"/>
  <c r="M107" i="24" s="1"/>
  <c r="V111" i="27"/>
  <c r="V126" i="27" s="1"/>
  <c r="W117" i="28"/>
  <c r="W132" i="28" s="1"/>
  <c r="V102" i="30"/>
  <c r="V105" i="30" s="1"/>
  <c r="U74" i="12"/>
  <c r="U75" i="12" s="1"/>
  <c r="Q75" i="12"/>
  <c r="V104" i="31"/>
  <c r="V106" i="31" s="1"/>
  <c r="E118" i="4"/>
  <c r="W128" i="31"/>
  <c r="W143" i="31" s="1"/>
  <c r="W102" i="30"/>
  <c r="W105" i="30" s="1"/>
  <c r="V143" i="31"/>
  <c r="V132" i="28"/>
  <c r="V96" i="23"/>
  <c r="V99" i="23" s="1"/>
  <c r="V96" i="24"/>
  <c r="V99" i="24" s="1"/>
  <c r="V120" i="23"/>
  <c r="V135" i="23" s="1"/>
  <c r="V93" i="28"/>
  <c r="V95" i="28" s="1"/>
  <c r="W96" i="23"/>
  <c r="W99" i="23" s="1"/>
  <c r="W87" i="27"/>
  <c r="W90" i="27" s="1"/>
  <c r="V141" i="30"/>
  <c r="V87" i="27"/>
  <c r="V89" i="27" s="1"/>
  <c r="W141" i="30"/>
  <c r="W93" i="28"/>
  <c r="W95" i="28" s="1"/>
  <c r="W104" i="31"/>
  <c r="W106" i="31" s="1"/>
  <c r="V84" i="25"/>
  <c r="W96" i="24"/>
  <c r="V105" i="29"/>
  <c r="W129" i="29"/>
  <c r="W144" i="29" s="1"/>
  <c r="W126" i="27"/>
  <c r="V129" i="29"/>
  <c r="V144" i="29" s="1"/>
  <c r="W111" i="4"/>
  <c r="W126" i="4" s="1"/>
  <c r="W105" i="29"/>
  <c r="V87" i="4"/>
  <c r="W81" i="25"/>
  <c r="W87" i="4"/>
  <c r="E117" i="28"/>
  <c r="E124" i="28" s="1"/>
  <c r="E85" i="28"/>
  <c r="E111" i="27"/>
  <c r="E118" i="27" s="1"/>
  <c r="E79" i="27"/>
  <c r="M105" i="31"/>
  <c r="E128" i="31"/>
  <c r="E135" i="31" s="1"/>
  <c r="M103" i="30"/>
  <c r="E126" i="30"/>
  <c r="E133" i="30" s="1"/>
  <c r="E120" i="23"/>
  <c r="E127" i="23" s="1"/>
  <c r="E88" i="23"/>
  <c r="E129" i="29"/>
  <c r="E136" i="29" s="1"/>
  <c r="M106" i="29"/>
  <c r="E105" i="25"/>
  <c r="E112" i="25" s="1"/>
  <c r="E73" i="25"/>
  <c r="M90" i="31"/>
  <c r="M88" i="30"/>
  <c r="M114" i="30" s="1"/>
  <c r="E120" i="24"/>
  <c r="E127" i="24" s="1"/>
  <c r="E88" i="24"/>
  <c r="M134" i="29"/>
  <c r="M122" i="28"/>
  <c r="M110" i="25"/>
  <c r="M125" i="23"/>
  <c r="M125" i="24"/>
  <c r="M116" i="27"/>
  <c r="M79" i="28"/>
  <c r="M105" i="28" s="1"/>
  <c r="M91" i="29"/>
  <c r="M117" i="29" s="1"/>
  <c r="M73" i="27"/>
  <c r="M99" i="27" s="1"/>
  <c r="M98" i="27"/>
  <c r="M104" i="28"/>
  <c r="R75" i="12"/>
  <c r="M67" i="25"/>
  <c r="M93" i="25" s="1"/>
  <c r="M82" i="24"/>
  <c r="M108" i="24" s="1"/>
  <c r="M82" i="23"/>
  <c r="M108" i="23" s="1"/>
  <c r="M73" i="4"/>
  <c r="M99" i="4" s="1"/>
  <c r="AB27" i="12"/>
  <c r="E79" i="4"/>
  <c r="S46" i="12"/>
  <c r="U102" i="29" l="1"/>
  <c r="U93" i="24"/>
  <c r="U132" i="24" s="1"/>
  <c r="U84" i="4"/>
  <c r="U123" i="4" s="1"/>
  <c r="U101" i="31"/>
  <c r="U140" i="31" s="1"/>
  <c r="U93" i="23"/>
  <c r="U132" i="23" s="1"/>
  <c r="U78" i="25"/>
  <c r="U117" i="25" s="1"/>
  <c r="U84" i="27"/>
  <c r="U99" i="30"/>
  <c r="U138" i="30" s="1"/>
  <c r="V104" i="30"/>
  <c r="W104" i="30"/>
  <c r="S74" i="12"/>
  <c r="V74" i="12" s="1"/>
  <c r="V107" i="31"/>
  <c r="V98" i="23"/>
  <c r="E93" i="31"/>
  <c r="E91" i="30"/>
  <c r="M85" i="27"/>
  <c r="M79" i="25"/>
  <c r="M91" i="28"/>
  <c r="M94" i="24"/>
  <c r="E94" i="29"/>
  <c r="M94" i="23"/>
  <c r="V98" i="24"/>
  <c r="V96" i="28"/>
  <c r="W96" i="28"/>
  <c r="W98" i="23"/>
  <c r="W89" i="27"/>
  <c r="W107" i="31"/>
  <c r="V90" i="27"/>
  <c r="W99" i="24"/>
  <c r="W98" i="24"/>
  <c r="V107" i="29"/>
  <c r="V108" i="29"/>
  <c r="W89" i="4"/>
  <c r="W90" i="4"/>
  <c r="W84" i="25"/>
  <c r="W83" i="25"/>
  <c r="V89" i="4"/>
  <c r="V90" i="4"/>
  <c r="W107" i="29"/>
  <c r="W108" i="29"/>
  <c r="U102" i="31"/>
  <c r="U100" i="30"/>
  <c r="M116" i="31"/>
  <c r="U91" i="28"/>
  <c r="U103" i="29"/>
  <c r="U85" i="27"/>
  <c r="U123" i="27"/>
  <c r="U141" i="29"/>
  <c r="U129" i="28"/>
  <c r="U85" i="4"/>
  <c r="U94" i="24"/>
  <c r="U79" i="25"/>
  <c r="U94" i="23"/>
  <c r="M85" i="4"/>
  <c r="N75" i="4"/>
  <c r="N101" i="4" s="1"/>
  <c r="G79" i="4"/>
  <c r="V46" i="12"/>
  <c r="M109" i="25" l="1"/>
  <c r="M116" i="25" s="1"/>
  <c r="M86" i="25"/>
  <c r="M115" i="27"/>
  <c r="M122" i="27" s="1"/>
  <c r="M92" i="27"/>
  <c r="M121" i="28"/>
  <c r="M128" i="28" s="1"/>
  <c r="M98" i="28"/>
  <c r="M130" i="30"/>
  <c r="M138" i="30" s="1"/>
  <c r="E99" i="30"/>
  <c r="M132" i="31"/>
  <c r="M140" i="31" s="1"/>
  <c r="E101" i="31"/>
  <c r="M124" i="23"/>
  <c r="M131" i="23" s="1"/>
  <c r="M101" i="23"/>
  <c r="M133" i="29"/>
  <c r="M141" i="29" s="1"/>
  <c r="E102" i="29"/>
  <c r="M124" i="24"/>
  <c r="M131" i="24" s="1"/>
  <c r="M101" i="24"/>
  <c r="M91" i="31"/>
  <c r="M89" i="30"/>
  <c r="U139" i="30"/>
  <c r="U141" i="31"/>
  <c r="M92" i="29"/>
  <c r="M74" i="27"/>
  <c r="M80" i="28"/>
  <c r="U124" i="27"/>
  <c r="U142" i="29"/>
  <c r="U130" i="28"/>
  <c r="U133" i="24"/>
  <c r="U133" i="23"/>
  <c r="U118" i="25"/>
  <c r="U124" i="4"/>
  <c r="S75" i="12"/>
  <c r="M83" i="24"/>
  <c r="M68" i="25"/>
  <c r="M83" i="23"/>
  <c r="V75" i="12"/>
  <c r="M115" i="4"/>
  <c r="M122" i="4" s="1"/>
  <c r="M92" i="4"/>
  <c r="AB28" i="12"/>
  <c r="M74" i="4"/>
  <c r="M100" i="4" s="1"/>
  <c r="O75" i="4"/>
  <c r="O101" i="4" s="1"/>
  <c r="M115" i="30" l="1"/>
  <c r="M90" i="30"/>
  <c r="M116" i="30" s="1"/>
  <c r="M117" i="31"/>
  <c r="M92" i="31"/>
  <c r="M118" i="31" s="1"/>
  <c r="U101" i="30"/>
  <c r="U103" i="31"/>
  <c r="M106" i="28"/>
  <c r="M81" i="28"/>
  <c r="M107" i="28" s="1"/>
  <c r="U104" i="29"/>
  <c r="U86" i="27"/>
  <c r="U92" i="28"/>
  <c r="M100" i="27"/>
  <c r="M75" i="27"/>
  <c r="M101" i="27" s="1"/>
  <c r="M118" i="29"/>
  <c r="M93" i="29"/>
  <c r="M119" i="29" s="1"/>
  <c r="M109" i="24"/>
  <c r="M84" i="24"/>
  <c r="M110" i="24" s="1"/>
  <c r="M94" i="25"/>
  <c r="M69" i="25"/>
  <c r="M95" i="25" s="1"/>
  <c r="U80" i="25"/>
  <c r="U95" i="24"/>
  <c r="U95" i="23"/>
  <c r="M109" i="23"/>
  <c r="M84" i="23"/>
  <c r="M110" i="23" s="1"/>
  <c r="M75" i="4"/>
  <c r="M101" i="4" s="1"/>
  <c r="AB25" i="12"/>
  <c r="AB30" i="12" s="1"/>
  <c r="U86" i="4"/>
  <c r="U142" i="31" l="1"/>
  <c r="U139" i="31" s="1"/>
  <c r="U143" i="31" s="1"/>
  <c r="U100" i="31"/>
  <c r="U140" i="30"/>
  <c r="U137" i="30" s="1"/>
  <c r="U141" i="30" s="1"/>
  <c r="U98" i="30"/>
  <c r="U131" i="28"/>
  <c r="U128" i="28" s="1"/>
  <c r="U132" i="28" s="1"/>
  <c r="U89" i="28"/>
  <c r="U125" i="27"/>
  <c r="U122" i="27" s="1"/>
  <c r="U126" i="27" s="1"/>
  <c r="U83" i="27"/>
  <c r="U143" i="29"/>
  <c r="U140" i="29" s="1"/>
  <c r="U144" i="29" s="1"/>
  <c r="U101" i="29"/>
  <c r="U119" i="25"/>
  <c r="U116" i="25" s="1"/>
  <c r="U120" i="25" s="1"/>
  <c r="U77" i="25"/>
  <c r="U134" i="24"/>
  <c r="U131" i="24" s="1"/>
  <c r="U135" i="24" s="1"/>
  <c r="U92" i="24"/>
  <c r="U134" i="23"/>
  <c r="U131" i="23" s="1"/>
  <c r="U135" i="23" s="1"/>
  <c r="U92" i="23"/>
  <c r="U125" i="4"/>
  <c r="U122" i="4" s="1"/>
  <c r="U126" i="4" s="1"/>
  <c r="U83" i="4"/>
  <c r="K146" i="4"/>
  <c r="J146" i="4"/>
  <c r="K147" i="4"/>
  <c r="J147" i="4"/>
  <c r="U102" i="30" l="1"/>
  <c r="U104" i="31"/>
  <c r="U87" i="27"/>
  <c r="U93" i="28"/>
  <c r="U105" i="29"/>
  <c r="U96" i="24"/>
  <c r="U81" i="25"/>
  <c r="U96" i="23"/>
  <c r="U87" i="4"/>
  <c r="F73" i="4"/>
  <c r="F112" i="4" s="1"/>
  <c r="F74" i="4"/>
  <c r="F113" i="4" s="1"/>
  <c r="K145" i="4"/>
  <c r="J150" i="4"/>
  <c r="F72" i="4" s="1"/>
  <c r="F111" i="4" s="1"/>
  <c r="K150" i="4"/>
  <c r="U107" i="31" l="1"/>
  <c r="U106" i="31"/>
  <c r="U104" i="30"/>
  <c r="U105" i="30"/>
  <c r="U96" i="28"/>
  <c r="U95" i="28"/>
  <c r="U107" i="29"/>
  <c r="U108" i="29"/>
  <c r="U89" i="27"/>
  <c r="U90" i="27"/>
  <c r="U99" i="23"/>
  <c r="U98" i="23"/>
  <c r="U83" i="25"/>
  <c r="U84" i="25"/>
  <c r="U98" i="24"/>
  <c r="U99" i="24"/>
  <c r="K202" i="4"/>
  <c r="J202" i="4"/>
  <c r="U90" i="4"/>
  <c r="U89" i="4"/>
  <c r="F118" i="4"/>
  <c r="F7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14" authorId="0" shapeId="0" xr:uid="{F5C0D0CF-25C2-4336-A403-7ABC09D2476B}">
      <text>
        <r>
          <rPr>
            <sz val="11"/>
            <color theme="1"/>
            <rFont val="Arial"/>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Der erscheinende Hinweis zur Handeingabe für das Jahr 2030 sollte wieder verschwinden, wenn für 2030 ein Wert größer/gleich dem Wert für 2025 erfolgt ist. Gilt auch für z. B. M5 PV-Anlage und M6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305" authorId="0" shapeId="0" xr:uid="{68CDA1C8-4F7D-4156-BF2F-784FC8B17E1C}">
      <text>
        <r>
          <rPr>
            <sz val="11"/>
            <color theme="1"/>
            <rFont val="Arial"/>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H286 wurde nicht abgezogen. Somit sind die Werte in H287+H288 doppelt erfasst.
Wurde korrigiert.</t>
        </r>
      </text>
    </comment>
  </commentList>
</comments>
</file>

<file path=xl/sharedStrings.xml><?xml version="1.0" encoding="utf-8"?>
<sst xmlns="http://schemas.openxmlformats.org/spreadsheetml/2006/main" count="5342" uniqueCount="488">
  <si>
    <t>Impressum</t>
  </si>
  <si>
    <t xml:space="preserve">erarbeitet durch: </t>
  </si>
  <si>
    <t>FutureCamp Climate GmbH</t>
  </si>
  <si>
    <t>Aschauer Str. 30</t>
  </si>
  <si>
    <t>81549 München</t>
  </si>
  <si>
    <t>www.future-camp.de</t>
  </si>
  <si>
    <t>Letzte Aktualisierung:</t>
  </si>
  <si>
    <t>Modellversion:</t>
  </si>
  <si>
    <t>1.0</t>
  </si>
  <si>
    <t>Kontakt:</t>
  </si>
  <si>
    <t>webkontakt@future-camp.de</t>
  </si>
  <si>
    <t xml:space="preserve">Johanna Lausen </t>
  </si>
  <si>
    <t>im Auftrag von:</t>
  </si>
  <si>
    <t>Projektleitung:</t>
  </si>
  <si>
    <t>Review:</t>
  </si>
  <si>
    <t>Gestaltung:</t>
  </si>
  <si>
    <t>Betonverband Straße, Landschaft, Garten e.V. (SLG)</t>
  </si>
  <si>
    <t>Schloßallee 10</t>
  </si>
  <si>
    <t>53179 Bonn</t>
  </si>
  <si>
    <t>Michael Gollinger</t>
  </si>
  <si>
    <t>Preise der Energieträger</t>
  </si>
  <si>
    <t>Einheit</t>
  </si>
  <si>
    <t>Quelle</t>
  </si>
  <si>
    <t>Kommentar</t>
  </si>
  <si>
    <t>Wirtschaftlichkeitsparameter</t>
  </si>
  <si>
    <t>Abschreibungszeitraum</t>
  </si>
  <si>
    <t>Zinssatz</t>
  </si>
  <si>
    <t>Scope 1</t>
  </si>
  <si>
    <t>Scope 2</t>
  </si>
  <si>
    <t>Scope 3</t>
  </si>
  <si>
    <t>Vermeidungskostenrechner: Pflastersteinfertiger</t>
  </si>
  <si>
    <t>CAPEX</t>
  </si>
  <si>
    <t>Erdgas</t>
  </si>
  <si>
    <t>Heizöl</t>
  </si>
  <si>
    <t>Strom</t>
  </si>
  <si>
    <t>Diesel</t>
  </si>
  <si>
    <t>Emissionsfaktoren</t>
  </si>
  <si>
    <t>Quellenverzeichnis</t>
  </si>
  <si>
    <t>Emissionsquelle</t>
  </si>
  <si>
    <t>Einheit der Emissionsquelle</t>
  </si>
  <si>
    <t>Gesamt</t>
  </si>
  <si>
    <t>kWh Hs</t>
  </si>
  <si>
    <t>Liter</t>
  </si>
  <si>
    <t>kWh</t>
  </si>
  <si>
    <t>kWh Hi</t>
  </si>
  <si>
    <t>Strommix Dtld 2020</t>
  </si>
  <si>
    <t>Transport vorgelagert</t>
  </si>
  <si>
    <t>Transport nachgelagert</t>
  </si>
  <si>
    <t>Zement - CEM I</t>
  </si>
  <si>
    <t>t</t>
  </si>
  <si>
    <t>Zement - CEM II</t>
  </si>
  <si>
    <t>Weißzement</t>
  </si>
  <si>
    <t>Zusatzmittel</t>
  </si>
  <si>
    <t>Plastifizierer - Concrete admixtures – Plasticizer and superplasticizer - Deutsche Bauchemie e.V. (DBC) (A1-A3)</t>
  </si>
  <si>
    <t>Jeweils auf Zusatzm.</t>
  </si>
  <si>
    <t>Luftporenbildner - Sodium ligninsulfonate</t>
  </si>
  <si>
    <t>Stabilisierer - Concrete admixtures – Retarders – Deutsche Bauchemie e.V. (DBC) (A1-A3)</t>
  </si>
  <si>
    <t>Hydrophobierer - Phenylmethyl siloxane</t>
  </si>
  <si>
    <t>Farben</t>
  </si>
  <si>
    <t>Eurocolour e.V., The groups of pigments and their CF values; Inorganic pigments and fillers, Status: May 2022</t>
  </si>
  <si>
    <t>Flugasche</t>
  </si>
  <si>
    <t>Quarzsteinmehl</t>
  </si>
  <si>
    <t>Kalksteinmehl</t>
  </si>
  <si>
    <t>Imprägniermittel  (Aushärtung über Infrarot)</t>
  </si>
  <si>
    <t>Verpackungsmaterial</t>
  </si>
  <si>
    <t>Abwasser</t>
  </si>
  <si>
    <t>cbm</t>
  </si>
  <si>
    <t>Stahlkugeln (Strahlanlage)</t>
  </si>
  <si>
    <t>Zement Gesamt</t>
  </si>
  <si>
    <t>Zement</t>
  </si>
  <si>
    <t>Summe</t>
  </si>
  <si>
    <t>Default Wert Rechner 2025</t>
  </si>
  <si>
    <t>Default Wert Rechner 2030</t>
  </si>
  <si>
    <t xml:space="preserve">Grünstrom </t>
  </si>
  <si>
    <t>Härtekammern</t>
  </si>
  <si>
    <t>Energieträger</t>
  </si>
  <si>
    <t>Musterwerk - Pflastersteinfertiger</t>
  </si>
  <si>
    <t>Radlader (1x)</t>
  </si>
  <si>
    <t>Gabelstapler (10x)</t>
  </si>
  <si>
    <t>Scope 1 und 2</t>
  </si>
  <si>
    <t>Handeingabe</t>
  </si>
  <si>
    <t>Handeingabe Verbrauchswerte</t>
  </si>
  <si>
    <t xml:space="preserve">Default Verbrauchswerte </t>
  </si>
  <si>
    <t>Default</t>
  </si>
  <si>
    <t>Referenzjahr 2020</t>
  </si>
  <si>
    <t>Scope2</t>
  </si>
  <si>
    <t>Produktionsmenge</t>
  </si>
  <si>
    <t>Kosten</t>
  </si>
  <si>
    <t>Handeingabe Referenz 2020</t>
  </si>
  <si>
    <t xml:space="preserve"> Handeingabe 2025</t>
  </si>
  <si>
    <t xml:space="preserve"> Handeingabe 2030</t>
  </si>
  <si>
    <t>Summe Scope 1 und Scope 2</t>
  </si>
  <si>
    <t>Referenz</t>
  </si>
  <si>
    <t>Energieträger Betrieb</t>
  </si>
  <si>
    <t>Referenzjahr 2025</t>
  </si>
  <si>
    <t>Referenzjahr 2030</t>
  </si>
  <si>
    <r>
      <t>Emissionen [t CO</t>
    </r>
    <r>
      <rPr>
        <b/>
        <vertAlign val="subscript"/>
        <sz val="9"/>
        <rFont val="Arial"/>
        <family val="2"/>
      </rPr>
      <t>2</t>
    </r>
    <r>
      <rPr>
        <b/>
        <sz val="9"/>
        <rFont val="Arial"/>
        <family val="2"/>
      </rPr>
      <t>e pro Einheit]</t>
    </r>
  </si>
  <si>
    <t>Bezugsjahr</t>
  </si>
  <si>
    <t>Default Wert Rechner</t>
  </si>
  <si>
    <t>€/MWh</t>
  </si>
  <si>
    <t>Vogl et al. (2018)</t>
  </si>
  <si>
    <t>a</t>
  </si>
  <si>
    <t>%</t>
  </si>
  <si>
    <t>BCG/VDEh. (2013)</t>
  </si>
  <si>
    <t>Mittelwert Vogl/BCG</t>
  </si>
  <si>
    <t>Grünstrom</t>
  </si>
  <si>
    <t>Bezugsjahr 2030</t>
  </si>
  <si>
    <t>Bezugsjahr 2025</t>
  </si>
  <si>
    <t>€</t>
  </si>
  <si>
    <t>€/a</t>
  </si>
  <si>
    <t>Muster Werk (ohne Härtekammern)</t>
  </si>
  <si>
    <t>PV</t>
  </si>
  <si>
    <t>Wind</t>
  </si>
  <si>
    <t>Wasser</t>
  </si>
  <si>
    <t>Scope 1 und Scope 2</t>
  </si>
  <si>
    <t>Scope 1 und 2 Emissionen</t>
  </si>
  <si>
    <t>Emissionen Scope 1 und Scope 2</t>
  </si>
  <si>
    <t>Rechner Emissionen</t>
  </si>
  <si>
    <t xml:space="preserve">Scope 1 </t>
  </si>
  <si>
    <t>Gesamtemissionen</t>
  </si>
  <si>
    <t xml:space="preserve">Rechner Kosten </t>
  </si>
  <si>
    <t>-</t>
  </si>
  <si>
    <t xml:space="preserve">Energiekosten </t>
  </si>
  <si>
    <t>€/l</t>
  </si>
  <si>
    <t>Heizung/Sonstige Wärmeversorgung</t>
  </si>
  <si>
    <t>Flüssiggas</t>
  </si>
  <si>
    <t>Alternative Energieträger Härtekammer</t>
  </si>
  <si>
    <t>Alternative Energieträger restliche Werk</t>
  </si>
  <si>
    <t>Erdgas Härtekammer</t>
  </si>
  <si>
    <t>Alternativer Energieträger Härtekammer</t>
  </si>
  <si>
    <t>ct/l</t>
  </si>
  <si>
    <t>Durchschnittlicher Preis für Dieselkraftstoff in Deutschland 2020</t>
  </si>
  <si>
    <t>Alternativer Energieträger</t>
  </si>
  <si>
    <t>Elektrische Energie (deutscher Mix)</t>
  </si>
  <si>
    <t>Referenz 
Default Wert Rechner 2020</t>
  </si>
  <si>
    <t>Gesamtkosten</t>
  </si>
  <si>
    <t>Kosten 2020</t>
  </si>
  <si>
    <t>Strommix Dtld (bis 2045 klimaneutral)</t>
  </si>
  <si>
    <r>
      <t>CO</t>
    </r>
    <r>
      <rPr>
        <b/>
        <vertAlign val="subscript"/>
        <sz val="10"/>
        <color theme="1"/>
        <rFont val="Arial"/>
        <family val="2"/>
      </rPr>
      <t>2</t>
    </r>
    <r>
      <rPr>
        <b/>
        <sz val="10"/>
        <color theme="1"/>
        <rFont val="Arial"/>
        <family val="2"/>
      </rPr>
      <t>-Preis</t>
    </r>
  </si>
  <si>
    <t>Ökostrommix Dtld 2020</t>
  </si>
  <si>
    <t>Windstrom</t>
  </si>
  <si>
    <t>Wasserstrom</t>
  </si>
  <si>
    <t>PV-Strom</t>
  </si>
  <si>
    <t>Quellen</t>
  </si>
  <si>
    <t>Quellen (Kürzel)</t>
  </si>
  <si>
    <t>Quellen (lang)</t>
  </si>
  <si>
    <t>Diagrammtabelle</t>
  </si>
  <si>
    <t>In Diagramm anzeigen</t>
  </si>
  <si>
    <t>Härtekammer</t>
  </si>
  <si>
    <t>Heizung</t>
  </si>
  <si>
    <t>Restliche Werk</t>
  </si>
  <si>
    <t>Alternativer Energieträger restliches Werk</t>
  </si>
  <si>
    <t>Strommix Dtld.</t>
  </si>
  <si>
    <t>Reduktion EF Strom Scope 2 und 3</t>
  </si>
  <si>
    <t>Strommix Dtld Härtekammer</t>
  </si>
  <si>
    <t>Zusätzliche Kosten</t>
  </si>
  <si>
    <r>
      <t>CO</t>
    </r>
    <r>
      <rPr>
        <b/>
        <vertAlign val="subscript"/>
        <sz val="10"/>
        <color theme="1"/>
        <rFont val="Arial"/>
        <family val="2"/>
      </rPr>
      <t>2</t>
    </r>
    <r>
      <rPr>
        <b/>
        <sz val="10"/>
        <color theme="1"/>
        <rFont val="Arial"/>
        <family val="2"/>
      </rPr>
      <t>-Kosten Gesamt</t>
    </r>
  </si>
  <si>
    <r>
      <t>CO</t>
    </r>
    <r>
      <rPr>
        <i/>
        <vertAlign val="subscript"/>
        <sz val="10"/>
        <color theme="1"/>
        <rFont val="Arial"/>
        <family val="2"/>
      </rPr>
      <t>2</t>
    </r>
    <r>
      <rPr>
        <i/>
        <sz val="10"/>
        <color theme="1"/>
        <rFont val="Arial"/>
        <family val="2"/>
      </rPr>
      <t>-Kosten Scope 1</t>
    </r>
  </si>
  <si>
    <r>
      <t>CO</t>
    </r>
    <r>
      <rPr>
        <i/>
        <vertAlign val="subscript"/>
        <sz val="10"/>
        <color theme="1"/>
        <rFont val="Arial"/>
        <family val="2"/>
      </rPr>
      <t>2</t>
    </r>
    <r>
      <rPr>
        <i/>
        <sz val="10"/>
        <color theme="1"/>
        <rFont val="Arial"/>
        <family val="2"/>
      </rPr>
      <t>-Kosten Scope 2</t>
    </r>
  </si>
  <si>
    <r>
      <t>CO</t>
    </r>
    <r>
      <rPr>
        <i/>
        <vertAlign val="subscript"/>
        <sz val="10"/>
        <color theme="1"/>
        <rFont val="Arial"/>
        <family val="2"/>
      </rPr>
      <t>2</t>
    </r>
    <r>
      <rPr>
        <i/>
        <sz val="10"/>
        <color theme="1"/>
        <rFont val="Arial"/>
        <family val="2"/>
      </rPr>
      <t>-Kosten Scope 3</t>
    </r>
  </si>
  <si>
    <t>Energieträger intern</t>
  </si>
  <si>
    <r>
      <t>Summe ohne CO</t>
    </r>
    <r>
      <rPr>
        <vertAlign val="subscript"/>
        <sz val="10"/>
        <color theme="1"/>
        <rFont val="Arial"/>
        <family val="2"/>
      </rPr>
      <t>2</t>
    </r>
    <r>
      <rPr>
        <sz val="10"/>
        <color theme="1"/>
        <rFont val="Arial"/>
        <family val="2"/>
      </rPr>
      <t>-Kosten</t>
    </r>
  </si>
  <si>
    <t>Einmalige Kosten</t>
  </si>
  <si>
    <t>Weitere Zementsorte</t>
  </si>
  <si>
    <r>
      <t>t CO</t>
    </r>
    <r>
      <rPr>
        <vertAlign val="subscript"/>
        <sz val="10"/>
        <color theme="1"/>
        <rFont val="Arial"/>
        <family val="2"/>
      </rPr>
      <t>2</t>
    </r>
    <r>
      <rPr>
        <sz val="10"/>
        <color theme="1"/>
        <rFont val="Arial"/>
        <family val="2"/>
      </rPr>
      <t>e</t>
    </r>
  </si>
  <si>
    <r>
      <t>t CO</t>
    </r>
    <r>
      <rPr>
        <b/>
        <vertAlign val="subscript"/>
        <sz val="10"/>
        <color theme="1"/>
        <rFont val="Arial"/>
        <family val="2"/>
      </rPr>
      <t>2</t>
    </r>
    <r>
      <rPr>
        <b/>
        <sz val="10"/>
        <color theme="1"/>
        <rFont val="Arial"/>
        <family val="2"/>
      </rPr>
      <t>e</t>
    </r>
  </si>
  <si>
    <t>Heizöl Härtekammer</t>
  </si>
  <si>
    <t>Strommix Dtld. Härtekammer</t>
  </si>
  <si>
    <t>Strommix Dtld..</t>
  </si>
  <si>
    <r>
      <rPr>
        <vertAlign val="superscript"/>
        <sz val="9"/>
        <color theme="1" tint="0.249977111117893"/>
        <rFont val="Arial"/>
        <family val="2"/>
      </rPr>
      <t>1)</t>
    </r>
    <r>
      <rPr>
        <sz val="9"/>
        <color theme="1" tint="0.249977111117893"/>
        <rFont val="Arial"/>
        <family val="2"/>
      </rPr>
      <t xml:space="preserve"> Z. B. Mehrkosten bei Wartung, Instandhaltung, Personal, etc. </t>
    </r>
  </si>
  <si>
    <t>Ergebnisse Maßnahme 1</t>
  </si>
  <si>
    <t>€/ 100l</t>
  </si>
  <si>
    <r>
      <rPr>
        <vertAlign val="superscript"/>
        <sz val="10"/>
        <color theme="1"/>
        <rFont val="Arial"/>
        <family val="2"/>
      </rPr>
      <t>1)</t>
    </r>
    <r>
      <rPr>
        <sz val="10"/>
        <color theme="1"/>
        <rFont val="Arial"/>
        <family val="2"/>
      </rPr>
      <t xml:space="preserve"> Im Musterwerk wird von Eigengewinnung ausgegangen, somit sind die Emissionen bereits beim Strom enthalten.</t>
    </r>
  </si>
  <si>
    <t xml:space="preserve">© Betonverband Straße, Landschaft, Garten e.V. und FutureCamp Climate. Alle Rechte vorbehalten. </t>
  </si>
  <si>
    <t>Nutzung der Methoden, Standarddaten und Ergebnisse nur mit  Verweis auf den Herausgeber gestattet.</t>
  </si>
  <si>
    <t>in Kooperation mit Vertretern</t>
  </si>
  <si>
    <t>der SLG-Mitgliedsunternehmen</t>
  </si>
  <si>
    <t>Herausgeber: Betonverband Straße, Landschaft, Garten e.V. (SLG)</t>
  </si>
  <si>
    <t>Gesteinskörnungen (Zuschlagsstoffe)</t>
  </si>
  <si>
    <t>Sand, Kies</t>
  </si>
  <si>
    <t>Brechsand, Splitt</t>
  </si>
  <si>
    <t>RC-Material (Sand, Splitt)</t>
  </si>
  <si>
    <t>Zusatzstoffe (Füllstoffe)</t>
  </si>
  <si>
    <t>Oberflächenschutzsysteme</t>
  </si>
  <si>
    <t>Hydrophobierung</t>
  </si>
  <si>
    <t>Beschichtung</t>
  </si>
  <si>
    <t>Oberflächenbearbeitung (vor/nach Erhärtung)</t>
  </si>
  <si>
    <t>Oberflächenbearbeitungsarten</t>
  </si>
  <si>
    <t>Weitere Materialen</t>
  </si>
  <si>
    <t>k.A.</t>
  </si>
  <si>
    <t>Transport gesamt</t>
  </si>
  <si>
    <t>Energieträger gesamt</t>
  </si>
  <si>
    <r>
      <t xml:space="preserve">Einmalige Kosten </t>
    </r>
    <r>
      <rPr>
        <b/>
        <vertAlign val="superscript"/>
        <sz val="10"/>
        <color theme="1"/>
        <rFont val="Arial"/>
        <family val="2"/>
      </rPr>
      <t>2)</t>
    </r>
  </si>
  <si>
    <t>Aufteilung der Scope 3 Emissionen</t>
  </si>
  <si>
    <t>Wasser &amp; Abwasser</t>
  </si>
  <si>
    <t xml:space="preserve">Gesamtemissionen </t>
  </si>
  <si>
    <r>
      <rPr>
        <b/>
        <sz val="10"/>
        <color theme="1"/>
        <rFont val="Arial"/>
        <family val="2"/>
      </rPr>
      <t xml:space="preserve">Erläuterung: </t>
    </r>
    <r>
      <rPr>
        <sz val="10"/>
        <color theme="1"/>
        <rFont val="Arial"/>
        <family val="2"/>
      </rPr>
      <t>In diesem Blatt werden die zentralen Quellen zur Herleitung der Default Werte für Preisannahmen und Wirtschaftlichkeitsberechnungen aufgeführt.</t>
    </r>
  </si>
  <si>
    <t>Heizwert 9,8 kWh / Liter</t>
  </si>
  <si>
    <r>
      <t>t CO</t>
    </r>
    <r>
      <rPr>
        <b/>
        <vertAlign val="subscript"/>
        <sz val="10"/>
        <rFont val="Arial"/>
        <family val="2"/>
      </rPr>
      <t>2</t>
    </r>
    <r>
      <rPr>
        <b/>
        <sz val="10"/>
        <rFont val="Arial"/>
        <family val="2"/>
      </rPr>
      <t>e</t>
    </r>
  </si>
  <si>
    <r>
      <t>t CO</t>
    </r>
    <r>
      <rPr>
        <vertAlign val="subscript"/>
        <sz val="10"/>
        <rFont val="Arial"/>
        <family val="2"/>
      </rPr>
      <t>2</t>
    </r>
    <r>
      <rPr>
        <sz val="10"/>
        <rFont val="Arial"/>
        <family val="2"/>
      </rPr>
      <t>e</t>
    </r>
  </si>
  <si>
    <t>Jährliche Kosten</t>
  </si>
  <si>
    <r>
      <t>CO</t>
    </r>
    <r>
      <rPr>
        <vertAlign val="subscript"/>
        <sz val="10"/>
        <rFont val="Arial"/>
        <family val="2"/>
      </rPr>
      <t>2</t>
    </r>
    <r>
      <rPr>
        <sz val="10"/>
        <rFont val="Arial"/>
        <family val="2"/>
      </rPr>
      <t xml:space="preserve"> Kosten Scope 1</t>
    </r>
  </si>
  <si>
    <r>
      <t>CO</t>
    </r>
    <r>
      <rPr>
        <vertAlign val="subscript"/>
        <sz val="10"/>
        <rFont val="Arial"/>
        <family val="2"/>
      </rPr>
      <t>2</t>
    </r>
    <r>
      <rPr>
        <sz val="10"/>
        <rFont val="Arial"/>
        <family val="2"/>
      </rPr>
      <t xml:space="preserve"> Kosten Scope 2</t>
    </r>
  </si>
  <si>
    <r>
      <t>CO</t>
    </r>
    <r>
      <rPr>
        <vertAlign val="subscript"/>
        <sz val="10"/>
        <rFont val="Arial"/>
        <family val="2"/>
      </rPr>
      <t>2</t>
    </r>
    <r>
      <rPr>
        <sz val="10"/>
        <rFont val="Arial"/>
        <family val="2"/>
      </rPr>
      <t xml:space="preserve"> Kosten Scope 3</t>
    </r>
  </si>
  <si>
    <r>
      <t xml:space="preserve">Wasser </t>
    </r>
    <r>
      <rPr>
        <b/>
        <vertAlign val="superscript"/>
        <sz val="10"/>
        <color theme="1"/>
        <rFont val="Arial"/>
        <family val="2"/>
      </rPr>
      <t>1)</t>
    </r>
  </si>
  <si>
    <t>Eingaben und Ergebnisse zu Maßnahme 1</t>
  </si>
  <si>
    <t>Maßnahme 1: Verminderung oder Vermeiden von Brennstoffeinsatz für die Härtekammern</t>
  </si>
  <si>
    <t>Berechnungsfaktor</t>
  </si>
  <si>
    <r>
      <t>t CO</t>
    </r>
    <r>
      <rPr>
        <vertAlign val="subscript"/>
        <sz val="10"/>
        <color theme="1"/>
        <rFont val="Arial"/>
        <family val="2"/>
      </rPr>
      <t>2</t>
    </r>
    <r>
      <rPr>
        <sz val="10"/>
        <color theme="1"/>
        <rFont val="Arial"/>
        <family val="2"/>
      </rPr>
      <t>e/t</t>
    </r>
    <r>
      <rPr>
        <vertAlign val="subscript"/>
        <sz val="10"/>
        <color theme="1"/>
        <rFont val="Arial"/>
        <family val="2"/>
      </rPr>
      <t>Produkt</t>
    </r>
  </si>
  <si>
    <t>Gesamtemissionen pro Tonne Produkt</t>
  </si>
  <si>
    <r>
      <t>t CO</t>
    </r>
    <r>
      <rPr>
        <b/>
        <vertAlign val="subscript"/>
        <sz val="10"/>
        <color theme="1"/>
        <rFont val="Arial"/>
        <family val="2"/>
      </rPr>
      <t>2</t>
    </r>
    <r>
      <rPr>
        <b/>
        <sz val="10"/>
        <color theme="1"/>
        <rFont val="Arial"/>
        <family val="2"/>
      </rPr>
      <t>e/t</t>
    </r>
    <r>
      <rPr>
        <b/>
        <vertAlign val="subscript"/>
        <sz val="10"/>
        <color theme="1"/>
        <rFont val="Arial"/>
        <family val="2"/>
      </rPr>
      <t>Produkt</t>
    </r>
  </si>
  <si>
    <r>
      <t>Summe ohne CO</t>
    </r>
    <r>
      <rPr>
        <vertAlign val="subscript"/>
        <sz val="10"/>
        <color theme="1"/>
        <rFont val="Arial"/>
        <family val="2"/>
      </rPr>
      <t>2</t>
    </r>
    <r>
      <rPr>
        <sz val="10"/>
        <color theme="1"/>
        <rFont val="Arial"/>
        <family val="2"/>
      </rPr>
      <t>-Kosten Scope 3</t>
    </r>
  </si>
  <si>
    <t>Eingaben und Ergebnisse zu Maßnahme 2</t>
  </si>
  <si>
    <t>Ergebnisse Maßnahme 2</t>
  </si>
  <si>
    <t>Investitionskosten je Stapler</t>
  </si>
  <si>
    <t>Prozentualer Bedarf Strom (ggü. Bedarf Diesel) je Stapler</t>
  </si>
  <si>
    <r>
      <rPr>
        <vertAlign val="superscript"/>
        <sz val="9"/>
        <color theme="1" tint="0.249977111117893"/>
        <rFont val="Arial"/>
        <family val="2"/>
      </rPr>
      <t>2)</t>
    </r>
    <r>
      <rPr>
        <sz val="9"/>
        <color theme="1" tint="0.249977111117893"/>
        <rFont val="Arial"/>
        <family val="2"/>
      </rPr>
      <t xml:space="preserve"> Z. B. für zusätzlichen Brandschutz, etc.</t>
    </r>
  </si>
  <si>
    <t>Dieselberaf je Stapler</t>
  </si>
  <si>
    <t>Liter/Stapler</t>
  </si>
  <si>
    <t>Strombedarf je Stapler</t>
  </si>
  <si>
    <t>kWh/Stapler</t>
  </si>
  <si>
    <t>Heizwert Diesel</t>
  </si>
  <si>
    <t>Prozentuale Reduktion der Energieträger für die Härtekammer (ggü. Referenzjahr)</t>
  </si>
  <si>
    <t>Investitionskosten im Jahr 2025 bzw. 2030</t>
  </si>
  <si>
    <t>Hilfsrechnung Investition</t>
  </si>
  <si>
    <t>CAPEX aus 2025</t>
  </si>
  <si>
    <t>Weitere CAPEX 2030</t>
  </si>
  <si>
    <r>
      <t xml:space="preserve">Zusätzliche jährl. Kosten </t>
    </r>
    <r>
      <rPr>
        <b/>
        <vertAlign val="superscript"/>
        <sz val="10"/>
        <color theme="1"/>
        <rFont val="Arial"/>
        <family val="2"/>
      </rPr>
      <t>1)</t>
    </r>
  </si>
  <si>
    <t>Einmalige Kosten aus 2025</t>
  </si>
  <si>
    <t>Einmalige Kosten aus 2030</t>
  </si>
  <si>
    <t>Anzahl Stapler Austausch 2030</t>
  </si>
  <si>
    <t>Anzahl Stapler Austausch 2025</t>
  </si>
  <si>
    <t>Eingaben und Ergebnisse zu Maßnahme 3</t>
  </si>
  <si>
    <t>Ergebnisse Maßnahme 3</t>
  </si>
  <si>
    <t>Dieselbedarf neuer Stapler</t>
  </si>
  <si>
    <t>Prozentuale Reduktion Dieselbedarf je Stapler</t>
  </si>
  <si>
    <t>Reduktion Dieselbedarf gesamt 2025</t>
  </si>
  <si>
    <t>Lieter</t>
  </si>
  <si>
    <t>Reduktion Dieselbedarf gesamt 2030</t>
  </si>
  <si>
    <t>Eingaben und Ergebnisse zu Maßnahme 4</t>
  </si>
  <si>
    <t>Ergebnisse Maßnahme 4</t>
  </si>
  <si>
    <t>Maßnahme 4: Ökostrom-Einkauf durch z. B. Power Purchase Agreement (PPA) oder Herkunftsnachweise (HKN)</t>
  </si>
  <si>
    <t>Grünstrommix</t>
  </si>
  <si>
    <t>Die zusätzlichen Kosten werden über den Grünstrompreis im Reiter "Eingabe Preise" definiert.</t>
  </si>
  <si>
    <t>EF</t>
  </si>
  <si>
    <t>Grünstrom Auswahl</t>
  </si>
  <si>
    <r>
      <t>Auswahl Grünstrom-Quelle</t>
    </r>
    <r>
      <rPr>
        <b/>
        <vertAlign val="superscript"/>
        <sz val="10"/>
        <color theme="1"/>
        <rFont val="Arial"/>
        <family val="2"/>
      </rPr>
      <t>1)</t>
    </r>
    <r>
      <rPr>
        <b/>
        <sz val="10"/>
        <color theme="1"/>
        <rFont val="Arial"/>
        <family val="2"/>
      </rPr>
      <t xml:space="preserve"> 
für 2025 und 2030</t>
    </r>
  </si>
  <si>
    <t>Eingaben und Ergebnisse zu Maßnahme 5</t>
  </si>
  <si>
    <t>Ergebnisse Maßnahme 5</t>
  </si>
  <si>
    <t>Strommenge Härtekammer</t>
  </si>
  <si>
    <t>Strommenge restliche Werk</t>
  </si>
  <si>
    <t>Strommenge PV-Anlage</t>
  </si>
  <si>
    <t>Dtl. Mix</t>
  </si>
  <si>
    <t>kWh/a</t>
  </si>
  <si>
    <t>Eingaben und Ergebnisse zu Maßnahme 6</t>
  </si>
  <si>
    <r>
      <rPr>
        <vertAlign val="superscript"/>
        <sz val="9"/>
        <color theme="1" tint="0.249977111117893"/>
        <rFont val="Arial"/>
        <family val="2"/>
      </rPr>
      <t>1)</t>
    </r>
    <r>
      <rPr>
        <sz val="9"/>
        <color theme="1" tint="0.249977111117893"/>
        <rFont val="Arial"/>
        <family val="2"/>
      </rPr>
      <t xml:space="preserve"> Z. B. Mehrkosten bei Wartung, Instandhaltung, Personal, etc. Dies kann in der Realität sehr unterschiedlich ausfallen, je nach umgesetzter Maßnahme.</t>
    </r>
  </si>
  <si>
    <t>Prozentuale Reduktion der Energieträger (ausgenommen Härtekammer) (ggü. Referenzjahr)</t>
  </si>
  <si>
    <t>Effizienz</t>
  </si>
  <si>
    <t>Auswahl Energieträger (ohne Härtekammern)</t>
  </si>
  <si>
    <t>Eingaben und Ergebnisse zu Maßnahme 7</t>
  </si>
  <si>
    <t>Ergebnisse Maßnahme 7</t>
  </si>
  <si>
    <t>CEM I</t>
  </si>
  <si>
    <t>CEM II</t>
  </si>
  <si>
    <t>Scope 3 Emissionen</t>
  </si>
  <si>
    <t>Aufteilung der Scope 1 und Scope 2 Emissionen</t>
  </si>
  <si>
    <t>Emissionen Scope 3</t>
  </si>
  <si>
    <t>Berechnungsfaktoren</t>
  </si>
  <si>
    <t>Maßnahme 3: Ersatz von Dieselstapler durch Dieselstapler mit besserer Effizienz</t>
  </si>
  <si>
    <t>Ersatzstoff 1</t>
  </si>
  <si>
    <t>Ersatzstoff 2</t>
  </si>
  <si>
    <t>Emissionsfaktor (Scope 3)  Ersatzsstoff 1</t>
  </si>
  <si>
    <t>Emissionsfaktor (Scope 3)  Ersatzsstoff 2</t>
  </si>
  <si>
    <t>Zusätzliche Ersatzstoffe</t>
  </si>
  <si>
    <t>Maßnahme 2: Umstellung Dieselstapler auf Elektroantrieb</t>
  </si>
  <si>
    <t>Anzahl Dieselstapler im Werk</t>
  </si>
  <si>
    <t>Umstellung Anzahl Dieselstapler</t>
  </si>
  <si>
    <t>Name Werk</t>
  </si>
  <si>
    <t>Datum</t>
  </si>
  <si>
    <t>Name Mitarbeiter</t>
  </si>
  <si>
    <r>
      <t>Weitere Zementsorte</t>
    </r>
    <r>
      <rPr>
        <vertAlign val="superscript"/>
        <sz val="10"/>
        <color theme="1"/>
        <rFont val="Arial"/>
        <family val="2"/>
      </rPr>
      <t>1)</t>
    </r>
  </si>
  <si>
    <r>
      <t>Investitionskosten</t>
    </r>
    <r>
      <rPr>
        <b/>
        <vertAlign val="superscript"/>
        <sz val="10"/>
        <color theme="1"/>
        <rFont val="Arial"/>
        <family val="2"/>
      </rPr>
      <t>3)</t>
    </r>
    <r>
      <rPr>
        <b/>
        <sz val="10"/>
        <color theme="1"/>
        <rFont val="Arial"/>
        <family val="2"/>
      </rPr>
      <t xml:space="preserve"> im Jahr 2025 bzw. 2030</t>
    </r>
  </si>
  <si>
    <r>
      <t xml:space="preserve">Zusätzliche jährl. Kosten </t>
    </r>
    <r>
      <rPr>
        <b/>
        <vertAlign val="superscript"/>
        <sz val="10"/>
        <color theme="1"/>
        <rFont val="Arial"/>
        <family val="2"/>
      </rPr>
      <t>4)</t>
    </r>
  </si>
  <si>
    <r>
      <t xml:space="preserve">Einmalige Kosten </t>
    </r>
    <r>
      <rPr>
        <b/>
        <vertAlign val="superscript"/>
        <sz val="10"/>
        <color theme="1"/>
        <rFont val="Arial"/>
        <family val="2"/>
      </rPr>
      <t>5)</t>
    </r>
  </si>
  <si>
    <t>Weiterer Ersatzsstoff 1</t>
  </si>
  <si>
    <t>Weiterer Ersatzstoff 2</t>
  </si>
  <si>
    <t>Kommentarfeld</t>
  </si>
  <si>
    <t>Eingaben und Ergebnisse zu Maßnahme 8</t>
  </si>
  <si>
    <t>Maßnahme 8: Rezepturänderung - Einsatz von Sorten mit geringeren Emissionsfaktoren (über allgemeine Marktentwicklung hinausgehend)</t>
  </si>
  <si>
    <t>Reduzierung Emissionsfaktor (ggü. Referenzjahr) folgender Stoffe:</t>
  </si>
  <si>
    <t>Eingaben und Ergebnisse zu Maßnahme 9</t>
  </si>
  <si>
    <t>Maßnahme 9: Einsatz von Recyclingmaterial</t>
  </si>
  <si>
    <t>Ergebnisse Maßnahme 9</t>
  </si>
  <si>
    <t>Ergebnisse Maßnahme 8</t>
  </si>
  <si>
    <t>Eingabe der Preisannahmen</t>
  </si>
  <si>
    <r>
      <t>€/tCO</t>
    </r>
    <r>
      <rPr>
        <vertAlign val="subscript"/>
        <sz val="10"/>
        <color theme="1"/>
        <rFont val="Arial"/>
        <family val="2"/>
      </rPr>
      <t>2</t>
    </r>
  </si>
  <si>
    <t>Preisannahmen Default Werte</t>
  </si>
  <si>
    <t>Bischoff &amp; Ditze (2020)</t>
  </si>
  <si>
    <r>
      <t>€/tCO</t>
    </r>
    <r>
      <rPr>
        <vertAlign val="subscript"/>
        <sz val="10"/>
        <rFont val="Arial"/>
        <family val="2"/>
      </rPr>
      <t>2</t>
    </r>
  </si>
  <si>
    <r>
      <t>€/tCO</t>
    </r>
    <r>
      <rPr>
        <b/>
        <vertAlign val="subscript"/>
        <sz val="10"/>
        <rFont val="Arial"/>
        <family val="2"/>
      </rPr>
      <t>2</t>
    </r>
  </si>
  <si>
    <t>EUA Futures DEC 2020; 01.01.2020 bis 14.12.2020</t>
  </si>
  <si>
    <t>EUA Futures DEC 2021; 01.01.2021 bis 20.12.2021</t>
  </si>
  <si>
    <t>EUA Futures DEC 2022; 01.01.2022 bis 07.11.2022</t>
  </si>
  <si>
    <t>https://www.rheingas.de/fluessiggas/gastank/preisentwicklung</t>
  </si>
  <si>
    <t>Erdgaspreise für Haushalte Durchschnitt 2020</t>
  </si>
  <si>
    <r>
      <t>Strompreis für Nicht-Haushalte Durchschnitt 2020; Beschaffungskosten bereinigt um den CO</t>
    </r>
    <r>
      <rPr>
        <vertAlign val="subscript"/>
        <sz val="10"/>
        <color theme="1"/>
        <rFont val="Arial"/>
        <family val="2"/>
      </rPr>
      <t>2</t>
    </r>
    <r>
      <rPr>
        <sz val="10"/>
        <color theme="1"/>
        <rFont val="Arial"/>
        <family val="2"/>
      </rPr>
      <t>-Anteil im Strompreis 
(Annahme: preissetzendes Grenzkraftwerk: Steinkohle)</t>
    </r>
  </si>
  <si>
    <t>ICE (2020)</t>
  </si>
  <si>
    <t>ICE (2021)</t>
  </si>
  <si>
    <t>ICE (2022)</t>
  </si>
  <si>
    <t>t/1000l</t>
  </si>
  <si>
    <t xml:space="preserve"> GJ/t</t>
  </si>
  <si>
    <t>Dichte Diesel</t>
  </si>
  <si>
    <t>Hier nur Eintragungen vornehmen, falls bereits im Referenzfall eine weitere Zementsorte relevant ist (siehe Reiter Referenzwerk). Neue in Zukunft zum Einsatz kommende Zementsorten bitte bei Ersatzstoffe eintragen.</t>
  </si>
  <si>
    <t>1)</t>
  </si>
  <si>
    <t>2)</t>
  </si>
  <si>
    <t>3)</t>
  </si>
  <si>
    <t>4)</t>
  </si>
  <si>
    <t>5)</t>
  </si>
  <si>
    <t>Ersatzstoffe sind die Stoffe, die zusätzlich eingesetzt werden, um den Zementeinsatz (gemäß Referenz 2020) reduzieren zu können. Dies können zum Beispiel Zusatzstoffe, Zusatzmittel, Bindemittel oder auch andere Zementsorten sein.</t>
  </si>
  <si>
    <t xml:space="preserve">Z. B. Mehrkosten bei Wartung, Instandhaltung, Personal, etc. </t>
  </si>
  <si>
    <t>Z. B. für zusätzlichen Brandschutz, etc.</t>
  </si>
  <si>
    <t>Hier ist kein Default Wert hinterlegt. Investitionen sind abhängig von Maßnahmen und Unternehmen (z. B. Mischtechnologie und Silokapazitäten) und können nicht vordefiniert werden.</t>
  </si>
  <si>
    <r>
      <t>tCO</t>
    </r>
    <r>
      <rPr>
        <vertAlign val="subscript"/>
        <sz val="10"/>
        <color theme="1"/>
        <rFont val="Arial"/>
        <family val="2"/>
      </rPr>
      <t>2</t>
    </r>
    <r>
      <rPr>
        <sz val="10"/>
        <color theme="1"/>
        <rFont val="Arial"/>
        <family val="2"/>
      </rPr>
      <t>e/t</t>
    </r>
    <r>
      <rPr>
        <vertAlign val="subscript"/>
        <sz val="10"/>
        <color theme="1"/>
        <rFont val="Arial"/>
        <family val="2"/>
      </rPr>
      <t>Ersatzstoff</t>
    </r>
  </si>
  <si>
    <t>Emissionen Startbilanz - Referenzjahr 2020</t>
  </si>
  <si>
    <r>
      <t>CO</t>
    </r>
    <r>
      <rPr>
        <b/>
        <vertAlign val="subscript"/>
        <sz val="10"/>
        <color theme="1"/>
        <rFont val="Arial"/>
        <family val="2"/>
      </rPr>
      <t>2</t>
    </r>
    <r>
      <rPr>
        <b/>
        <sz val="10"/>
        <color theme="1"/>
        <rFont val="Arial"/>
        <family val="2"/>
      </rPr>
      <t>-Kosten</t>
    </r>
  </si>
  <si>
    <r>
      <rPr>
        <b/>
        <sz val="10"/>
        <color theme="1"/>
        <rFont val="Arial"/>
        <family val="2"/>
      </rPr>
      <t xml:space="preserve">Erläuterung: </t>
    </r>
    <r>
      <rPr>
        <sz val="10"/>
        <color theme="1"/>
        <rFont val="Arial"/>
        <family val="2"/>
      </rPr>
      <t>In diesem Blatt werden die Default Werte für Preisannahmen aufgeführt. Die hinterlegten Default Werte zu den Preisen können durch Handeingaben angepasst werden. Dies ist für die drei betrachteten Jahre 2020, 2025 und 2030 unterschiedlich möglich. 
Zudem wird der CO</t>
    </r>
    <r>
      <rPr>
        <vertAlign val="subscript"/>
        <sz val="10"/>
        <color theme="1"/>
        <rFont val="Arial"/>
        <family val="2"/>
      </rPr>
      <t>2</t>
    </r>
    <r>
      <rPr>
        <sz val="10"/>
        <color theme="1"/>
        <rFont val="Arial"/>
        <family val="2"/>
      </rPr>
      <t>-Preis je Scope dargestellt, da der CO</t>
    </r>
    <r>
      <rPr>
        <vertAlign val="subscript"/>
        <sz val="10"/>
        <color theme="1"/>
        <rFont val="Arial"/>
        <family val="2"/>
      </rPr>
      <t>2</t>
    </r>
    <r>
      <rPr>
        <sz val="10"/>
        <color theme="1"/>
        <rFont val="Arial"/>
        <family val="2"/>
      </rPr>
      <t>-Preis durch unterschiedliche Systeme geprägt sein kann (z. B. der Erdgaspreis im Werk in Scope 1 durch das nationale Emissionshandelssystem (nEHS) und die Scope 2 Emissionen Strombezug aus dem Europäischen Emissionshandel (EU ETS)).</t>
    </r>
  </si>
  <si>
    <t>Default Wert</t>
  </si>
  <si>
    <r>
      <t>kWh</t>
    </r>
    <r>
      <rPr>
        <vertAlign val="subscript"/>
        <sz val="10"/>
        <color theme="1"/>
        <rFont val="Arial"/>
        <family val="2"/>
      </rPr>
      <t>Hs</t>
    </r>
  </si>
  <si>
    <t>Erläuterungen:</t>
  </si>
  <si>
    <r>
      <rPr>
        <b/>
        <sz val="10.5"/>
        <color theme="1"/>
        <rFont val="Arial"/>
        <family val="2"/>
        <scheme val="minor"/>
      </rPr>
      <t>Erläuterungen:</t>
    </r>
    <r>
      <rPr>
        <sz val="10.5"/>
        <color theme="1"/>
        <rFont val="Arial"/>
        <family val="2"/>
        <scheme val="minor"/>
      </rPr>
      <t xml:space="preserve"> </t>
    </r>
  </si>
  <si>
    <t>Maßnahme 5: Produktion von eigenem regenerativen Strom, speziell Photovoltaik</t>
  </si>
  <si>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 xml:space="preserve">Maßnahme 4 </t>
    </r>
    <r>
      <rPr>
        <sz val="10.5"/>
        <color theme="1"/>
        <rFont val="Arial"/>
        <family val="2"/>
        <scheme val="minor"/>
      </rPr>
      <t>umfasst die Umstellung des Strombezugs vom deutschen Strommix auf 100 % Grünstrombezug. Der Energiebedarf wird bei dieser Maßnahme nicht beeinflusst. Bei dieser Maßnahme kann Ökostrom z. B. direkt über einen Vertrag mit einem Erzeuger von erneuerbarem Strom beschaffen werden (Power Purchse Agreement - PPA) oder über den Stromlieferanten mit Hilfe von Herkunftsnachweisen (HKN). Somit fallen keine Investitions- oder sonstige Kosten an. Die zusätzlichen Kosten werden über den Grünstrompreis abgebildet.
Der hinterlegte Default Wert ist Grünstrommix.</t>
    </r>
  </si>
  <si>
    <t>Maßnahme 6: Generell Energieeinsparmaßnahmen ohne Einfluss auf die Härtekammern</t>
  </si>
  <si>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6</t>
    </r>
    <r>
      <rPr>
        <sz val="10.5"/>
        <color theme="1"/>
        <rFont val="Arial"/>
        <family val="2"/>
        <scheme val="minor"/>
      </rPr>
      <t xml:space="preserve"> kann eine Vielzahl von Maßnahmen umfassen. Einige Beispiele sind: 
   - Energieeffizienzmaßnahmen
   - Modernisierung und Neuanschaffung von Produktionsanlagen
   - Effizienzsteigerung energieintensiver Druckluft- und Hydrauliktechnik
   - Abwärmenutzung und Energierückgewinnung.
Da die Maßnahmen sowie das zu realisierende Potenzial im jeweilig betrachteten Unternehmen sehr unterschiedlich ausfallen können, sind die Default Werte eher als Platzhalter zu verstehen. 
Die </t>
    </r>
    <r>
      <rPr>
        <b/>
        <sz val="10.5"/>
        <color theme="1"/>
        <rFont val="Arial"/>
        <family val="2"/>
        <scheme val="minor"/>
      </rPr>
      <t>prozentuale Reduktion</t>
    </r>
    <r>
      <rPr>
        <sz val="10.5"/>
        <color theme="1"/>
        <rFont val="Arial"/>
        <family val="2"/>
        <scheme val="minor"/>
      </rPr>
      <t xml:space="preserve"> bezieht sich auf den Referenzwert 2020. Somit beinhaltet der Wert 2030 auch den Wert von 2025 und ist nicht als zusätzlich anzusehen. 
Beispiel (Default Wert): Im Jahr 2025 werden bereits 5 % der Energie eingespart. Da der Default Wert 2030 immer noch 5 % beträgt, sind keine weiteren Einsparungen realisiert worden. 
Bei den</t>
    </r>
    <r>
      <rPr>
        <b/>
        <sz val="10.5"/>
        <color theme="1"/>
        <rFont val="Arial"/>
        <family val="2"/>
        <scheme val="minor"/>
      </rPr>
      <t xml:space="preserve"> Investitionskosten</t>
    </r>
    <r>
      <rPr>
        <sz val="10.5"/>
        <color theme="1"/>
        <rFont val="Arial"/>
        <family val="2"/>
        <scheme val="minor"/>
      </rPr>
      <t xml:space="preserve"> sind jeweils die in dem Jahr anfallenden Kosten anzugeben (2030 beinhaltet somit nicht die Kosten von 2025).
</t>
    </r>
    <r>
      <rPr>
        <b/>
        <u/>
        <sz val="10.5"/>
        <color theme="1"/>
        <rFont val="Arial"/>
        <family val="2"/>
        <scheme val="minor"/>
      </rPr>
      <t>Anmerkung:</t>
    </r>
    <r>
      <rPr>
        <sz val="10.5"/>
        <color theme="1"/>
        <rFont val="Arial"/>
        <family val="2"/>
        <scheme val="minor"/>
      </rPr>
      <t xml:space="preserve"> Der hinterlegte Default Wert für den Energieträger ist der Strombedarf des Werks (ohne Härtekammer). Sollten Effizienzmaßnahmen für andere Energieträger durchgeführt werden, muss dies erst ausgewählt werden. Eine Abbildung von Effizienzmaßnahmen für mehrere Energieträger gleichzeitig, ist mit diesem Rechner nicht abbildbar. </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</si>
  <si>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5</t>
    </r>
    <r>
      <rPr>
        <sz val="10.5"/>
        <color theme="1"/>
        <rFont val="Arial"/>
        <family val="2"/>
        <scheme val="minor"/>
      </rPr>
      <t xml:space="preserve"> umfasst die Installation einer eigenen erneuerbaren Stromerzeugungsanlage. Im betrachtetem Default Fall wird insbesondere die Installation einer Photovoltaikanlage bewertet. Hier betrachtet ist eine Anlage, die rund 100.000 kWh pro Jahr erzeugt. Dies entspricht einer Anlage mit einer Leistung von rund 110 Kilowatt-Peak bei der durchschnittlichen Sonneneinstrahlung in Deutschland. 
Dieses Tabellenblatt ist jedoch nicht auf Photovoltaik begrenzt, sondern kann auch für anderen regenerative Erzeugungsanlagen genutzt werden. Dies kann dann im Kommentarfeld hinterlegt werden. 
Die </t>
    </r>
    <r>
      <rPr>
        <b/>
        <sz val="10.5"/>
        <color theme="1"/>
        <rFont val="Arial"/>
        <family val="2"/>
        <scheme val="minor"/>
      </rPr>
      <t>angegebene selbsterzeugte Strommenge</t>
    </r>
    <r>
      <rPr>
        <sz val="10.5"/>
        <color theme="1"/>
        <rFont val="Arial"/>
        <family val="2"/>
        <scheme val="minor"/>
      </rPr>
      <t xml:space="preserve"> bezieht sich auf das jeweilige Jahr. Im Jahr 2025 werden bereits mit der neuen PV-Anlage 100.000 kWh Strom erzeugt. Es wird im Default Fall keine weitere Anlage installiert oder die bestehende ausgeweitet. Somit beträgt auch 2030 die selbsterzeugte Strommenge 100.000 kWh.  
Bei den</t>
    </r>
    <r>
      <rPr>
        <b/>
        <sz val="10.5"/>
        <color theme="1"/>
        <rFont val="Arial"/>
        <family val="2"/>
        <scheme val="minor"/>
      </rPr>
      <t xml:space="preserve"> Investitionskosten</t>
    </r>
    <r>
      <rPr>
        <sz val="10.5"/>
        <color theme="1"/>
        <rFont val="Arial"/>
        <family val="2"/>
        <scheme val="minor"/>
      </rPr>
      <t xml:space="preserve"> sind jeweils die in dem Jahr anfallenden Kosten anzugeben (2030 beinhaltet somit nicht die Kosten von 2025).</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</si>
  <si>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1</t>
    </r>
    <r>
      <rPr>
        <sz val="10.5"/>
        <color theme="1"/>
        <rFont val="Arial"/>
        <family val="2"/>
        <scheme val="minor"/>
      </rPr>
      <t xml:space="preserve"> bewertet die Reduktion von Scope 1 bzw. Scope 2 Emission im Werk durch die Reduktion oder die Vermeidung vom Einsatz fossiler Energieträger für die Härtekammern.
Die </t>
    </r>
    <r>
      <rPr>
        <b/>
        <sz val="10.5"/>
        <color theme="1"/>
        <rFont val="Arial"/>
        <family val="2"/>
        <scheme val="minor"/>
      </rPr>
      <t xml:space="preserve">prozentuale Reduktion </t>
    </r>
    <r>
      <rPr>
        <sz val="10.5"/>
        <color theme="1"/>
        <rFont val="Arial"/>
        <family val="2"/>
        <scheme val="minor"/>
      </rPr>
      <t xml:space="preserve">bezieht sich auf den Referenzwert 2020. Somit beinhaltet der Wert 2030 auch den Wert von 2025 und ist nicht als zusätzlich anzusehen. 
</t>
    </r>
    <r>
      <rPr>
        <u/>
        <sz val="10.5"/>
        <color theme="1"/>
        <rFont val="Arial"/>
        <family val="2"/>
        <scheme val="minor"/>
      </rPr>
      <t>Beispiel (Default Wert):</t>
    </r>
    <r>
      <rPr>
        <sz val="10.5"/>
        <color theme="1"/>
        <rFont val="Arial"/>
        <family val="2"/>
        <scheme val="minor"/>
      </rPr>
      <t xml:space="preserve"> Im Jahr 2025 werden bereits 30% der Energie eingespart. Da der Default Wert 2030 immer noch 30% beträgt, sind keine weiteren Einsparungen realisiert worden. 
Bei den</t>
    </r>
    <r>
      <rPr>
        <b/>
        <sz val="10.5"/>
        <color theme="1"/>
        <rFont val="Arial"/>
        <family val="2"/>
        <scheme val="minor"/>
      </rPr>
      <t xml:space="preserve"> Investitionskosten</t>
    </r>
    <r>
      <rPr>
        <sz val="10.5"/>
        <color theme="1"/>
        <rFont val="Arial"/>
        <family val="2"/>
        <scheme val="minor"/>
      </rPr>
      <t xml:space="preserve"> sind jeweils die in dem Jahr anfallenden Kosten anzugeben (2030 beinhaltet somit nicht die Kosten von 2025).</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</si>
  <si>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 xml:space="preserve">Maßnahme 7 </t>
    </r>
    <r>
      <rPr>
        <sz val="10.5"/>
        <color theme="1"/>
        <rFont val="Arial"/>
        <family val="2"/>
        <scheme val="minor"/>
      </rPr>
      <t>betrachtet eine Rezepturänderung. Konkret wird im Default Fall die Reduzierung vom Zementeinsatz (CEM I, CEM II und Weißzement und falls vorhanden auch eine weitere Zementsorte) betrachtet. Um diesen zu reduzieren, wird zudem angenommen, dass ein Mehrverbrauch von Quarzsteinmehl und Kalksteinmehl erforderlich ist. Zudem besteht im Eingabefeld die Möglichkeit zwei weitere Ersatzstoffe einzutragen und zu berücksichtigen. Da diese Stoffe im Referenzfall (Werk 2020) nicht berücksichtigt sind, müssen diese Eingaben in Tonnen erfolgen und nicht in Prozent, wie die bereits vorhandenen Stoffe. 
Die</t>
    </r>
    <r>
      <rPr>
        <b/>
        <sz val="10.5"/>
        <color theme="1"/>
        <rFont val="Arial"/>
        <family val="2"/>
        <scheme val="minor"/>
      </rPr>
      <t xml:space="preserve"> prozentuale Reduktion und auch der Mehrverbrauch</t>
    </r>
    <r>
      <rPr>
        <sz val="10.5"/>
        <color theme="1"/>
        <rFont val="Arial"/>
        <family val="2"/>
        <scheme val="minor"/>
      </rPr>
      <t xml:space="preserve"> von Materialien bezieht sich auf den Referenzwert 2020. Somit beinhaltet der Wert 2030 auch den Wert von 2025 und ist nicht als zusätzlich anzusehen. </t>
    </r>
  </si>
  <si>
    <r>
      <t>tCO</t>
    </r>
    <r>
      <rPr>
        <vertAlign val="subscript"/>
        <sz val="10"/>
        <color theme="1"/>
        <rFont val="Arial"/>
        <family val="2"/>
      </rPr>
      <t>2</t>
    </r>
    <r>
      <rPr>
        <sz val="10"/>
        <color theme="1"/>
        <rFont val="Arial"/>
        <family val="2"/>
      </rPr>
      <t>e/t</t>
    </r>
    <r>
      <rPr>
        <vertAlign val="subscript"/>
        <sz val="10"/>
        <color theme="1"/>
        <rFont val="Arial"/>
        <family val="2"/>
      </rPr>
      <t>Recyc.</t>
    </r>
  </si>
  <si>
    <t>Menge Recyclingmaterial</t>
  </si>
  <si>
    <t>Ersatzstoffe &amp; Recyclingmaterial</t>
  </si>
  <si>
    <t>Recyclingmaterial</t>
  </si>
  <si>
    <r>
      <t>Menge Recyclingmaterial</t>
    </r>
    <r>
      <rPr>
        <vertAlign val="superscript"/>
        <sz val="10"/>
        <color theme="1"/>
        <rFont val="Arial"/>
        <family val="2"/>
      </rPr>
      <t>3)</t>
    </r>
  </si>
  <si>
    <t>Menge Recyclingmaterial wird berechnet anhand "Anteiliger Einsatz"</t>
  </si>
  <si>
    <t>6)</t>
  </si>
  <si>
    <r>
      <t>Investitionskosten</t>
    </r>
    <r>
      <rPr>
        <b/>
        <vertAlign val="superscript"/>
        <sz val="10"/>
        <color theme="1"/>
        <rFont val="Arial"/>
        <family val="2"/>
      </rPr>
      <t>4)</t>
    </r>
    <r>
      <rPr>
        <b/>
        <sz val="10"/>
        <color theme="1"/>
        <rFont val="Arial"/>
        <family val="2"/>
      </rPr>
      <t xml:space="preserve"> im Jahr 2025 bzw. 2030</t>
    </r>
  </si>
  <si>
    <r>
      <t xml:space="preserve">Zusätzliche jährl. Kosten </t>
    </r>
    <r>
      <rPr>
        <b/>
        <vertAlign val="superscript"/>
        <sz val="10"/>
        <color theme="1"/>
        <rFont val="Arial"/>
        <family val="2"/>
      </rPr>
      <t>5)</t>
    </r>
  </si>
  <si>
    <r>
      <t xml:space="preserve">Einmalige Kosten </t>
    </r>
    <r>
      <rPr>
        <b/>
        <vertAlign val="superscript"/>
        <sz val="10"/>
        <color theme="1"/>
        <rFont val="Arial"/>
        <family val="2"/>
      </rPr>
      <t>6)</t>
    </r>
  </si>
  <si>
    <t>Weblink (Stand 18.10.2022)</t>
  </si>
  <si>
    <t>https://www-genesis.destatis.de/genesis/online?operation=abruftabelleBearbeiten&amp;levelindex=1&amp;levelid=1662640912503&amp;auswahloperation=abruftabelleAuspraegungAuswaehlen&amp;auswahlverzeichnis=ordnungsstruktur&amp;auswahlziel=werteabruf&amp;code=61243-0011&amp;auswahltext=&amp;werteabruf=starten#abreadcrumb</t>
  </si>
  <si>
    <t>https://de.statista.com/statistik/daten/studie/1692/umfrage/preis-fuer-einen-liter-leichtes-heizoel-monatsdurchschnittswerte/#professional</t>
  </si>
  <si>
    <t xml:space="preserve">Statista (2022): Durchschnittlicher Preis für leichtes Heizöl in Deutschland in den Monaten Januar 2020 bis November 2022 </t>
  </si>
  <si>
    <t>https://www-genesis.destatis.de/genesis/online?operation=abruftabelleBearbeiten&amp;levelindex=1&amp;levelid=1662640498524&amp;auswahloperation=abruftabelleAuspraegungAuswaehlen&amp;auswahlverzeichnis=ordnungsstruktur&amp;auswahlziel=werteabruf&amp;code=61243-0006&amp;auswahltext=&amp;werteabruf=starten#abreadcrumb</t>
  </si>
  <si>
    <t>Bischoff &amp; Ditze (2020): Handel von Herkunftsnachweisen, S. 14</t>
  </si>
  <si>
    <t>Rheingas (2022): Durchschnitt 2020 der Miettank Kunden Rheingas</t>
  </si>
  <si>
    <t>https://www.rheingas.de/fluessiggas/gastank/der-energietraeger-fluessiggas/umrechner</t>
  </si>
  <si>
    <t>Rheingas (2022): Umrechnung Flüssiggas - Die Umrechnung von Flüssiggas in verschiedene Einheiten</t>
  </si>
  <si>
    <r>
      <t xml:space="preserve">Umrechnungsfaktor: 7,111 l/kWh </t>
    </r>
    <r>
      <rPr>
        <sz val="10"/>
        <color theme="0" tint="-0.499984740745262"/>
        <rFont val="Arial"/>
        <family val="2"/>
        <scheme val="minor"/>
      </rPr>
      <t>(Quelle: Rheingas 2022 b)</t>
    </r>
  </si>
  <si>
    <t>Aufpreis von 2,50 €/MWh für die Herkunftsnachweise (Grünstrom)</t>
  </si>
  <si>
    <t>Statista (2022): Durchschnittlicher Preis für Dieselkraftstoff in Deutschland in den Jahren 1950 bis 2022</t>
  </si>
  <si>
    <t>https://de.statista.com/statistik/daten/studie/779/umfrage/durchschnittspreis-fuer-dieselkraftstoff-seit-dem-jahr-1950/</t>
  </si>
  <si>
    <t>Statistische Bundesamt (2022 a): GENESIS-Online: Erdgaspreise für Haushalte 2020</t>
  </si>
  <si>
    <t>Statistische Bundesamt (2022 b): GENESIS-Online: Strompreis für Nicht-Haushalte Durchschnitt 2020</t>
  </si>
  <si>
    <t>Statistisches Bundesamt (2022 a)</t>
  </si>
  <si>
    <t>Statistisches Bundesamt (2022 b)</t>
  </si>
  <si>
    <t>Statista (2022 a)</t>
  </si>
  <si>
    <t>Statista (2022 b)</t>
  </si>
  <si>
    <t>Rheingas (2022 a)</t>
  </si>
  <si>
    <t>Rheingas (2022 b)</t>
  </si>
  <si>
    <t>Intercontinental Exchange, Inc. (2020): EUA Futures DEC 2020; 01.01.2020 bis 14.12.2020</t>
  </si>
  <si>
    <t>Intercontinental Exchange, Inc. (2021): EUA Futures DEC 2021; 01.01.2021 bis 20.12.2021</t>
  </si>
  <si>
    <t>Intercontinental Exchange, Inc. (2022): EUA Futures DEC 2022; 01.01.2022 bis 07.11.2022</t>
  </si>
  <si>
    <t>https://www.theice.com/products/197/EUA-Futures/data?marketId=7182641</t>
  </si>
  <si>
    <t>BEHG</t>
  </si>
  <si>
    <t>§ 10 Abs. 2 BEHG Novelle</t>
  </si>
  <si>
    <t>Vogl, V., Åhman, M., Nilsson, L. J. (2018). Assessment of hydrogen direct reduction for fossil-free steelmaking. Journal of Cleaner Production, Vol. 203, pp. 736-745.</t>
  </si>
  <si>
    <t>https://reader.elsevier.com/reader/sd/pii/S0959652618326301?token=141CBDF6F88338E77A3D37AB4B08B4BBBBDD032E4E72E31BB7DB4EB5F3C4AC2DA5F87F2DC7E28FABE2C99C649C1A4806</t>
  </si>
  <si>
    <t>Zweites Gesetz zur Änderung des Brennstoffemissionshandelsgesetzes - Vom 9. November 2022</t>
  </si>
  <si>
    <t>https://www.gov.uk/government/collections/government-conversion-factors-for-company-reporting</t>
  </si>
  <si>
    <t>https://iinas.org/downloads/gemis-downloads/</t>
  </si>
  <si>
    <t>https://www.umweltbundesamt.de/publikationen/entwicklung-der-spezifischen-kohlendioxid-8</t>
  </si>
  <si>
    <t>EPD-VDZ-20220153-IAG1-DE</t>
  </si>
  <si>
    <t>EPD-VDZ-20210336-IAG1-DE</t>
  </si>
  <si>
    <t>Verein Deutscher Zementwerke e.V., Umweltprodukt-Deklaration, EPD-VDZ-20220153-IAG1-DE, 08.06.2022</t>
  </si>
  <si>
    <t>https://www.vdz-online.de/fileadmin/wissensportal/publikationen/umweltschutz/Portlandzement_CEM_I.pdf</t>
  </si>
  <si>
    <t>Verein Deutscher Zementwerke e.V., Umweltprodukt-Deklaration, EPD-VDZ-20210336-IAG1-DE, 25.05.2022</t>
  </si>
  <si>
    <t>https://www.vdz-online.de/fileadmin/wissensportal/publikationen/umweltschutz/Durchschnittlicher_Zement_D.pdf</t>
  </si>
  <si>
    <t>https://www.bafa.de/SharedDocs/Downloads/DE/Energie/eew_infoblatt_co2_faktoren_2021.pdf;jsessionid=B9BD68A926560CFF69991AF149A45574.1_cid381?__blob=publicationFile&amp;v=9</t>
  </si>
  <si>
    <t>https://eurocolour.org/media/eurocolour_flyer_carbon_footprint_05.2022.pdf</t>
  </si>
  <si>
    <t>https://ecoinvent.org/the-ecoinvent-database/</t>
  </si>
  <si>
    <t>https://www.probas.umweltbundesamt.de/php/prozessdetails.php?id=%7B0E0B2C9A-9043-11D3-B2C8-0080C8941B49%7D</t>
  </si>
  <si>
    <t>https://muster-epd.deutsche-bauchemie.de/fileadmin/user_upload/EFCA-model-EPD_plasticisers_superplasticisers_final_2026-12-15.pdf</t>
  </si>
  <si>
    <t>https://muster-epd.deutsche-bauchemie.de/fileadmin/user_upload/EFCA-model-EPD_air_entrainers_final_2026-12-15.pdf</t>
  </si>
  <si>
    <t>https://muster-epd.deutsche-bauchemie.de/fileadmin/user_upload/EFCA-model-EPD_retarders_final_2026-12-15.pdf</t>
  </si>
  <si>
    <t>https://muster-epd.deutsche-bauchemie.de/fileadmin/user_upload/EFCA-model-EPD_water-resisting_admixtures_final_2026-12-15.pdf</t>
  </si>
  <si>
    <t>Institut Bauen und Umwelt e.V. (IBU), Umweltprodukt-Deklaration, EPD-EFC-20210198-IBG1-EN, 16.12.2021</t>
  </si>
  <si>
    <t>Institut Bauen und Umwelt e. V. - EPD</t>
  </si>
  <si>
    <t>https://www.agora-energiewende.de/veroeffentlichungen/transformationskostenrechner-power-2-heat/</t>
  </si>
  <si>
    <t>DEHSt (2022)</t>
  </si>
  <si>
    <t>GEMIS 5.0</t>
  </si>
  <si>
    <t>UBA (2022)</t>
  </si>
  <si>
    <t>NettoWerte</t>
  </si>
  <si>
    <t>DEFRA (2021 a)</t>
  </si>
  <si>
    <t>DEFRA (2021 b)</t>
  </si>
  <si>
    <t>DEFRA (2021 c)</t>
  </si>
  <si>
    <t>DEFRA (2021 d)</t>
  </si>
  <si>
    <t>DEFRA (2021 e)</t>
  </si>
  <si>
    <t>GEMIS (2019)</t>
  </si>
  <si>
    <t>ProBas (2022 a)</t>
  </si>
  <si>
    <t>ProBas (2022 b)</t>
  </si>
  <si>
    <t>ProBas (2022 c)</t>
  </si>
  <si>
    <t>Eurocolour (2022)</t>
  </si>
  <si>
    <t>BAFA (2021 b)</t>
  </si>
  <si>
    <t>BAFA (2021 a)</t>
  </si>
  <si>
    <t>FutureCamp (2022)</t>
  </si>
  <si>
    <r>
      <t xml:space="preserve">Zement - CEM I </t>
    </r>
    <r>
      <rPr>
        <vertAlign val="superscript"/>
        <sz val="10"/>
        <color theme="1"/>
        <rFont val="Arial"/>
        <family val="2"/>
      </rPr>
      <t>1)</t>
    </r>
  </si>
  <si>
    <r>
      <t xml:space="preserve">Zement - CEM II </t>
    </r>
    <r>
      <rPr>
        <vertAlign val="superscript"/>
        <sz val="10"/>
        <color theme="1"/>
        <rFont val="Arial"/>
        <family val="2"/>
      </rPr>
      <t>1)</t>
    </r>
  </si>
  <si>
    <r>
      <t xml:space="preserve">Weißzement </t>
    </r>
    <r>
      <rPr>
        <vertAlign val="superscript"/>
        <sz val="10"/>
        <color theme="1"/>
        <rFont val="Arial"/>
        <family val="2"/>
      </rPr>
      <t>1)</t>
    </r>
  </si>
  <si>
    <r>
      <t xml:space="preserve">Wasser </t>
    </r>
    <r>
      <rPr>
        <vertAlign val="superscript"/>
        <sz val="10"/>
        <color theme="3" tint="9.9978637043366805E-2"/>
        <rFont val="Arial"/>
        <family val="2"/>
      </rPr>
      <t>2)</t>
    </r>
  </si>
  <si>
    <r>
      <rPr>
        <vertAlign val="superscript"/>
        <sz val="10"/>
        <color theme="1"/>
        <rFont val="Arial"/>
        <family val="2"/>
      </rPr>
      <t>1)</t>
    </r>
    <r>
      <rPr>
        <sz val="10"/>
        <color theme="1"/>
        <rFont val="Arial"/>
        <family val="2"/>
      </rPr>
      <t xml:space="preserve"> Emissionsfaktoren sind Nettowertangaben.</t>
    </r>
  </si>
  <si>
    <r>
      <rPr>
        <vertAlign val="superscript"/>
        <sz val="10"/>
        <color theme="1"/>
        <rFont val="Arial"/>
        <family val="2"/>
      </rPr>
      <t>2)</t>
    </r>
    <r>
      <rPr>
        <sz val="10"/>
        <color theme="1"/>
        <rFont val="Arial"/>
        <family val="2"/>
      </rPr>
      <t xml:space="preserve"> Im Musterwerk wird von Eigengewinnung ausgegangen, somit sind die Emissionen bereits beim Strom enthalten.</t>
    </r>
  </si>
  <si>
    <t>Ecoinvent (2022 b)</t>
  </si>
  <si>
    <t>Agora (2022)</t>
  </si>
  <si>
    <t>Agora Industrie, FutureCamp, Wuppertal Institut (2022): Power-2-Heat: Direkte Elektrifizierung von industrieller Prozesswärme - Rechner für die Abschätzung der Transformationskosten Modellversion 1.0, Berlin, 05.07.22</t>
  </si>
  <si>
    <t>Bundesamt für Wirtschaft und Ausfuhrkontrolle (BAFA); Informationsblatt CO2-Faktoren, Datum des Inkrafttreten 01.11.2021; Kies (Baukies) analog Sand (Bausand)</t>
  </si>
  <si>
    <t>Bundesamt für Wirtschaft und Ausfuhrkontrolle (BAFA); Informationsblatt CO2-Faktoren, Datum des Inkrafttreten 01.11.2021; Quarzsand</t>
  </si>
  <si>
    <t xml:space="preserve">Department for Environment, Food and Rural Affairs (Britische Regierung): Fuels, Gaseous Fuels,  Natural Gas, GCV (Gross calorific value) </t>
  </si>
  <si>
    <t xml:space="preserve">Department for Environment, Food and Rural Affairs (Britische Regierung): WTT Fuels, Gaseous Fuels,  Natural Gas, GCV (Gross calorific value) </t>
  </si>
  <si>
    <t>Department for Environment, Food and Rural Affairs (Britische Regierung): Fuels, Gaseous Fuels,  LPG, NCV (Net calorific value)</t>
  </si>
  <si>
    <t>Department for Environment, Food and Rural Affairs (Britische Regierung): WTT Fuels, Gaseous Fuels,  LPG, NCV (Net calorific value)</t>
  </si>
  <si>
    <t>Department for Environment, Food and Rural Affairs (Britische Regierung): Water treatment, cubic metres</t>
  </si>
  <si>
    <t>Deutsche Emissionshandelsstelle (DEHSt) im Umweltbundesamt (2022): Leitfaden zur Erstellung von Überwachungsplänen und Emissionsberichten für stationäre Anlagen - 4. Handelsperiode (2021–2030) des europäischen Emissionshandels</t>
  </si>
  <si>
    <t>https://www.dehst.de/SharedDocs/downloads/DE/stationaere_anlagen/2021-2030/Ueberwachungsplan-Emissionsbericht_Leitfaden.pdf?__blob=publicationFile&amp;v=2</t>
  </si>
  <si>
    <t>Ecoinvent 3.8: market for acrylic varnish, without water, in 87.5% solution state</t>
  </si>
  <si>
    <t>EPD Deutsche Bauchemie (2021)</t>
  </si>
  <si>
    <t>EPD-VDZ-20210336-IAG1-DE (2022)</t>
  </si>
  <si>
    <t>EPD-VDZ-20220153-IAG1-DE (2022)</t>
  </si>
  <si>
    <t xml:space="preserve">FutureCamp Climate GmbH (2022): Eigene Herleitung/Berechnung gemäß GHG PK-Vorgaben aus 
1) AGEB: Stromerzeugung nach Energieträgern 1990 - 2021 (Stand Dezember 2021); 
2) BDEW: Bruttostromerzeugung nach Energieträgern in D (Stand Nov 2021) 
3) AGEE, Sept 2021: Zeitreihen zur Entwicklung der erneuerbaren Energien in Deutschland; Excel, S. 6 Tabelle 3; 
4) GEMIS 5.0, aktualisierte Daten Feb. 2021, El-mix-DE-2020; 
5) UBA , Mai 2021: Entwicklung der spezifischen Kohlendioxidemissionen des deutschen Strommix 1990 - 2020, Tabelle 1, S. 10 sowie S. 16, Tab. 3 </t>
  </si>
  <si>
    <t xml:space="preserve">GEMIS von Internationale Institut für Nachhaltigkeitsanalysen und – strategien (IINAS): GEMIS 5.0, Diesel-Mix-DE-2020 (inkl. Biokraftstoffe); Umrechnung Einheiten gemäß Bundesamt für Wirtschaft und Ausfuhrkontrolle, Nov. 2019: Merkblatt zur Ermittlung des Gesamtenergieverbrauchs, Tab. S. 6 </t>
  </si>
  <si>
    <t>Probas (2022 a)</t>
  </si>
  <si>
    <t>Umweltbundesamt &amp; Internationale Institut für Nachhaltigkeitsanalysen und -strategien (IINAS) - "Prozessorientierte Basisdaten für Umweltmanagement-Instrumente (ProBas)":  Steine-ErdenCaCO3-Mehl-DE-2000</t>
  </si>
  <si>
    <t>Probas (2022 b)</t>
  </si>
  <si>
    <t>Umweltbundesamt &amp; Internationale Institut für Nachhaltigkeitsanalysen und -strategien (IINAS) - "Prozessorientierte Basisdaten für Umweltmanagement-Instrumente (ProBas)": MetallStahl-mix-DE-2020</t>
  </si>
  <si>
    <t>Probas (2022 c)</t>
  </si>
  <si>
    <t>Umweltbundesamt &amp; Internationale Institut für Nachhaltigkeitsanalysen und -strategien (IINAS) - "Prozessorientierte Basisdaten für Umweltmanagement-Instrumente (ProBas)": Papier-PappeKraftpapier</t>
  </si>
  <si>
    <t>Umweltbundesamt (2022): Entwicklung der spezifischen Treibhausgas-Emissionen des deutschen Strommix in den Jahren 1990 - 2021; Climate Change - 15/2022</t>
  </si>
  <si>
    <t xml:space="preserve">Zitierempfehlung: </t>
  </si>
  <si>
    <t>Pflastersteinfertiger; Modellversion 1.0, München, 23.01.23</t>
  </si>
  <si>
    <t xml:space="preserve">Betonverband Straße, Landschaft, Garten e.V. (SLG) &amp; FutureCamp (2023): </t>
  </si>
  <si>
    <t xml:space="preserve">Wege zur klimaneutralen Betonsteinherstellung - Vermeidungskostenrechner </t>
  </si>
  <si>
    <r>
      <t xml:space="preserve">Wasser </t>
    </r>
    <r>
      <rPr>
        <vertAlign val="superscript"/>
        <sz val="10"/>
        <color theme="1"/>
        <rFont val="Arial"/>
        <family val="2"/>
      </rPr>
      <t>2)</t>
    </r>
  </si>
  <si>
    <r>
      <t xml:space="preserve">Zement </t>
    </r>
    <r>
      <rPr>
        <b/>
        <vertAlign val="superscript"/>
        <sz val="10"/>
        <color theme="1"/>
        <rFont val="Arial"/>
        <family val="2"/>
      </rPr>
      <t>1)</t>
    </r>
  </si>
  <si>
    <r>
      <rPr>
        <vertAlign val="superscript"/>
        <sz val="10"/>
        <color theme="1"/>
        <rFont val="Arial"/>
        <family val="2"/>
      </rPr>
      <t>1)</t>
    </r>
    <r>
      <rPr>
        <sz val="10"/>
        <color theme="1"/>
        <rFont val="Arial"/>
        <family val="2"/>
      </rPr>
      <t xml:space="preserve"> Die Emissionsfaktoren werden in Nettoangaben vorgenommen.</t>
    </r>
  </si>
  <si>
    <t>Autorin:</t>
  </si>
  <si>
    <r>
      <t xml:space="preserve">Gabelstapler (10x) </t>
    </r>
    <r>
      <rPr>
        <vertAlign val="superscript"/>
        <sz val="10"/>
        <color theme="1"/>
        <rFont val="Arial"/>
        <family val="2"/>
      </rPr>
      <t>1)</t>
    </r>
  </si>
  <si>
    <r>
      <rPr>
        <vertAlign val="superscript"/>
        <sz val="10"/>
        <color theme="1"/>
        <rFont val="Arial"/>
        <family val="2"/>
      </rPr>
      <t>1)</t>
    </r>
    <r>
      <rPr>
        <sz val="10"/>
        <color theme="1"/>
        <rFont val="Arial"/>
        <family val="2"/>
      </rPr>
      <t xml:space="preserve"> Der Verbrauch der Elektrostapler ist nicht gesondert ausgewiesen. Der Verbrauch ist in „Elektrische Energie“ des Musterwerks enthalten.</t>
    </r>
  </si>
  <si>
    <t xml:space="preserve">Kontrolle Bestandteile </t>
  </si>
  <si>
    <t>Kontrolle Zusatzmittel</t>
  </si>
  <si>
    <t>Institut Bauen und Umwelt e.V. (IBU), Umweltprodukt-Deklaration, EPD-EFC-20210193-IBG1-EN, 16.12.2021</t>
  </si>
  <si>
    <t>Institut Bauen und Umwelt e.V. (IBU), Umweltprodukt-Deklaration, EPD-EFC-20210195-IBG1-EN, 16.12.2021</t>
  </si>
  <si>
    <t>Institut Bauen und Umwelt e.V. (IBU), Umweltprodukt-Deklaration, EPD-EFC-20210197-IBG1-EN, 16.12.2021</t>
  </si>
  <si>
    <r>
      <rPr>
        <b/>
        <u/>
        <sz val="10"/>
        <color theme="1"/>
        <rFont val="Arial"/>
        <family val="2"/>
      </rPr>
      <t>Hinweis:</t>
    </r>
    <r>
      <rPr>
        <sz val="10"/>
        <color theme="1"/>
        <rFont val="Arial"/>
        <family val="2"/>
      </rPr>
      <t xml:space="preserve"> Sollte ein Energieträger in Ihrem Werk nicht zum Einsatz kommen, muss bei Verbrauchswerten ohne Verbrauch zwingend eine "0" eingetragen werden.</t>
    </r>
  </si>
  <si>
    <t>Dyckerhoff GmbH (2021): Environmental Data Sheet Self-declaration based on Environdec c-PCR-001 Cement and building limes (EN 16908)</t>
  </si>
  <si>
    <t>Dyckerhoff GmbH (2021)</t>
  </si>
  <si>
    <t>Ergebnisse Maßnahme 6</t>
  </si>
  <si>
    <t>Alternative Energieträger restliches Werk</t>
  </si>
  <si>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2</t>
    </r>
    <r>
      <rPr>
        <sz val="10.5"/>
        <color theme="1"/>
        <rFont val="Arial"/>
        <family val="2"/>
        <scheme val="minor"/>
      </rPr>
      <t xml:space="preserve"> betrachtet den Austausch von Dieselstaplern durch effizientere Elektrostapler. Der Dieselbedarf je Stapler wird anhand der Anzahl an Dieselstapler im Werk und der Eingabe an Dieselbedarf für Stapler im Reiter "Referenzwerk" berechnet und kann nicht gesondert eingetragen werden.
Die </t>
    </r>
    <r>
      <rPr>
        <b/>
        <sz val="10.5"/>
        <color theme="1"/>
        <rFont val="Arial"/>
        <family val="2"/>
        <scheme val="minor"/>
      </rPr>
      <t>Umstellung der Dieselstapler</t>
    </r>
    <r>
      <rPr>
        <sz val="10.5"/>
        <color theme="1"/>
        <rFont val="Arial"/>
        <family val="2"/>
        <scheme val="minor"/>
      </rPr>
      <t xml:space="preserve"> bezieht sich auf den Referenzwert 2020. Somit beinhaltet der Wert 2030 auch den Wert von 2025 und ist nicht als zusätzlich anzusehen. 
</t>
    </r>
    <r>
      <rPr>
        <u/>
        <sz val="10.5"/>
        <color theme="1"/>
        <rFont val="Arial"/>
        <family val="2"/>
        <scheme val="minor"/>
      </rPr>
      <t>Beispiel:</t>
    </r>
    <r>
      <rPr>
        <sz val="10.5"/>
        <color theme="1"/>
        <rFont val="Arial"/>
        <family val="2"/>
        <scheme val="minor"/>
      </rPr>
      <t xml:space="preserve"> Im Jahr 2025 werden bereits fünf Stapler ausgetauscht. Der Default Wert 2030 beträgt zehn. Somit werden 2030 noch einmal zusätzliche fünf Stapler ausgetauscht. Insgesamt sind somit zehn Stapler bis 2030 gegenüber dem Referenzjahr 2020 auf Elektroantrieb umgestellt.
</t>
    </r>
    <r>
      <rPr>
        <b/>
        <sz val="10.5"/>
        <color theme="1"/>
        <rFont val="Arial"/>
        <family val="2"/>
        <scheme val="minor"/>
      </rPr>
      <t>Anmerkung:</t>
    </r>
    <r>
      <rPr>
        <sz val="10.5"/>
        <color theme="1"/>
        <rFont val="Arial"/>
        <family val="2"/>
        <scheme val="minor"/>
      </rPr>
      <t xml:space="preserve"> Diese Maßnahme bezieht sich ausschließlich auf den Austausch von Dieselstaplern. Der Verbrauch von ggf. bereits vorhandenen Elektrostaplern ist nicht gesondert ausgewiesen. Dieser Verbrauch sollte im Reiter "Referenzwerk" im Wert „Elektrische Energie“ des Musterwerks angegeben werden bzw. enthalten sein.</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</si>
  <si>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8</t>
    </r>
    <r>
      <rPr>
        <sz val="10.5"/>
        <color theme="1"/>
        <rFont val="Arial"/>
        <family val="2"/>
        <scheme val="minor"/>
      </rPr>
      <t xml:space="preserve"> betrachtet eine Rezepturänderung, um die Scope 3 Emissionen zu reduzieren. Betrachtet wird der Einsatz / Austausch von Zement durch Einsatzstoffe mit geringerem Emissionsfaktor. Im Default Beispiel wird angenommen, dass die Zementsorte eins zu eins durch eine andere Sorte ausgetauscht werden, welche einen geringeren Emissionsfaktor besitzen als die jeweiligen Zementsorten (2025 um 5 % geringer ggü. 2020 und bis 2030 um 10 % geringer ggü. dem Referenzjahr). Zudem sind Platzhalter vorgesehen, um ggf. weitere benötigte Ersatzstoffe einzutragen. Hierbei müssen die benötigten Mengen für das betrachtete Werk und Produktionsmenge (siehe Reiter "Referenzwerk") und der Emissionsfaktor eingetragen werden.
Die </t>
    </r>
    <r>
      <rPr>
        <b/>
        <sz val="10.5"/>
        <color theme="1"/>
        <rFont val="Arial"/>
        <family val="2"/>
        <scheme val="minor"/>
      </rPr>
      <t>prozentuale Reduktion</t>
    </r>
    <r>
      <rPr>
        <sz val="10.5"/>
        <color theme="1"/>
        <rFont val="Arial"/>
        <family val="2"/>
        <scheme val="minor"/>
      </rPr>
      <t xml:space="preserve"> des Emissionsfaktors bezieht sich auf den Referenzwert 2020. Somit beinhaltet der Wert 2030 auch den Wert von 2025 und ist nicht als zusätzlich anzusehen. </t>
    </r>
  </si>
  <si>
    <t>Hier nur Eintragungen vornehmen, falls bereits im Referenzfall eine weitere Zementsorte relevant ist (siehe Reiter Referenzwerk). Neue, in Zukunft zum Einsatz kommende Zementsorten bitte bei Ersatzstoffe eintragen.</t>
  </si>
  <si>
    <r>
      <rPr>
        <vertAlign val="superscript"/>
        <sz val="10"/>
        <color theme="1"/>
        <rFont val="Arial"/>
        <family val="2"/>
      </rPr>
      <t xml:space="preserve">1) </t>
    </r>
    <r>
      <rPr>
        <sz val="10"/>
        <color theme="1"/>
        <rFont val="Arial"/>
        <family val="2"/>
      </rPr>
      <t>Die Scope 2 Emssionen betragen bei allen Grünstromarten null. Jedoch sind die Scope 3 Emissionen je nach erneuerbarer Energienquelle unterschiedlich.</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</si>
  <si>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3</t>
    </r>
    <r>
      <rPr>
        <sz val="10.5"/>
        <color theme="1"/>
        <rFont val="Arial"/>
        <family val="2"/>
        <scheme val="minor"/>
      </rPr>
      <t xml:space="preserve"> betrachtet den Austausch von Dieselstaplern durch effizientere Dieselstapler. Der Bedarf an Diesel je Stapler wird anhand der Anzahl an Dieselstapler im Werk und der Eingabe an Dieselbedarf für Stapler im Reiter "Referenzwerk" berechnet und kann nicht gesondert eingetragen werden. 
Die</t>
    </r>
    <r>
      <rPr>
        <b/>
        <sz val="10.5"/>
        <color theme="1"/>
        <rFont val="Arial"/>
        <family val="2"/>
        <scheme val="minor"/>
      </rPr>
      <t xml:space="preserve"> Umstellung der Dieselstapler</t>
    </r>
    <r>
      <rPr>
        <sz val="10.5"/>
        <color theme="1"/>
        <rFont val="Arial"/>
        <family val="2"/>
        <scheme val="minor"/>
      </rPr>
      <t xml:space="preserve"> bezieht sich auf den Referenzwert 2020. Somit beinhaltet der Wert 2030 auch den Wert von 2025 und ist nicht als zusätzlich anzusehen. 
Beispiel: Im Jahr 2025 werden bereits fünf Stapler ausgetauscht. Der Default Wert 2030 beträgt zehn. Somit werden 2030 noch einmal zusätzliche fünf Stapler ausgetauscht. Insgesamt sind somit zehn Stapler bis 2030 gegenüber dem Referenzjahr 2020 auf Elektroantrieb umgestellt.
</t>
    </r>
    <r>
      <rPr>
        <b/>
        <sz val="10.5"/>
        <color theme="1"/>
        <rFont val="Arial"/>
        <family val="2"/>
        <scheme val="minor"/>
      </rPr>
      <t xml:space="preserve">Anmerkung: </t>
    </r>
    <r>
      <rPr>
        <sz val="10.5"/>
        <color theme="1"/>
        <rFont val="Arial"/>
        <family val="2"/>
        <scheme val="minor"/>
      </rPr>
      <t>Diese Maßnahme bezieht sich ausschließlich auf den Austausch von Dieselstaplern. Der Verbrauch von ggf. vorhandenen Elektrostaplern ist nicht gesondert ausgewiesen. Dieser Verbrauch sollte im Reiter "Referenzwerk" im Wert „Elektrische Energie“ des Musterwerks angegeben werden bzw. enthalten sein.</t>
    </r>
  </si>
  <si>
    <t>Emissionsfaktor (Scope 3) Recyclingmaterial</t>
  </si>
  <si>
    <t>EPD-Baumineral-021-DE</t>
  </si>
  <si>
    <t>Plastifizierer</t>
  </si>
  <si>
    <t>Luftporenbildner</t>
  </si>
  <si>
    <t>Stabilisierer</t>
  </si>
  <si>
    <t>Hydrophobierer</t>
  </si>
  <si>
    <r>
      <t>t CO</t>
    </r>
    <r>
      <rPr>
        <b/>
        <vertAlign val="subscript"/>
        <sz val="10"/>
        <color theme="1"/>
        <rFont val="Arial"/>
        <family val="2"/>
      </rPr>
      <t>2</t>
    </r>
    <r>
      <rPr>
        <b/>
        <sz val="10"/>
        <color theme="1"/>
        <rFont val="Arial"/>
        <family val="2"/>
      </rPr>
      <t>e /                  t Produkt</t>
    </r>
  </si>
  <si>
    <r>
      <t>Benötigte Ersatzstoffe</t>
    </r>
    <r>
      <rPr>
        <b/>
        <vertAlign val="superscript"/>
        <sz val="10"/>
        <color theme="1"/>
        <rFont val="Arial"/>
        <family val="2"/>
      </rPr>
      <t>2)</t>
    </r>
    <r>
      <rPr>
        <b/>
        <sz val="10"/>
        <color theme="1"/>
        <rFont val="Arial"/>
        <family val="2"/>
      </rPr>
      <t xml:space="preserve"> und Recyclingmaterial:</t>
    </r>
  </si>
  <si>
    <t>Veränderung Zementeinsatz (ggü. Referenzjahr):</t>
  </si>
  <si>
    <r>
      <t>Veränderung Ersatzstoffe</t>
    </r>
    <r>
      <rPr>
        <b/>
        <vertAlign val="superscript"/>
        <sz val="10"/>
        <color theme="1"/>
        <rFont val="Arial"/>
        <family val="2"/>
      </rPr>
      <t>2)</t>
    </r>
    <r>
      <rPr>
        <b/>
        <sz val="10"/>
        <color theme="1"/>
        <rFont val="Arial"/>
        <family val="2"/>
      </rPr>
      <t xml:space="preserve"> (ggü. Referenzjahr):</t>
    </r>
  </si>
  <si>
    <t>Alternative zu Photovoltaik hier eintragen:</t>
  </si>
  <si>
    <r>
      <t>Benötigte Ersatzstoffe</t>
    </r>
    <r>
      <rPr>
        <b/>
        <vertAlign val="superscript"/>
        <sz val="10"/>
        <color theme="1"/>
        <rFont val="Arial"/>
        <family val="2"/>
      </rPr>
      <t>2)</t>
    </r>
    <r>
      <rPr>
        <b/>
        <sz val="10"/>
        <color theme="1"/>
        <rFont val="Arial"/>
        <family val="2"/>
      </rPr>
      <t xml:space="preserve"> :</t>
    </r>
  </si>
  <si>
    <t>Maßnahme 7: Rezepturänderung - Veränderung Materialeinsatz</t>
  </si>
  <si>
    <t>Selbsterzeugte Strommenge durch eigene Photovoltaik-Anlage</t>
  </si>
  <si>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9</t>
    </r>
    <r>
      <rPr>
        <sz val="10.5"/>
        <color theme="1"/>
        <rFont val="Arial"/>
        <family val="2"/>
        <scheme val="minor"/>
      </rPr>
      <t xml:space="preserve"> betrachtet die Reduktionsmöglichkeiten der Scope 3 Emissionen durch den Einsatz von Recyclingmaterial.
Der</t>
    </r>
    <r>
      <rPr>
        <b/>
        <sz val="10.5"/>
        <color theme="1"/>
        <rFont val="Arial"/>
        <family val="2"/>
        <scheme val="minor"/>
      </rPr>
      <t xml:space="preserve"> prozentuale Anteil vom Recyclingmaterial</t>
    </r>
    <r>
      <rPr>
        <sz val="10.5"/>
        <color theme="1"/>
        <rFont val="Arial"/>
        <family val="2"/>
        <scheme val="minor"/>
      </rPr>
      <t xml:space="preserve"> bezieht sich auf den Referenzwert 2020. Somit beinhaltet der Wert 2030 auch den Wert von 2025 und ist nicht als zusätzlich anzusehen. Dies muss auch bei den Handeingaben berücksichtigt werden.</t>
    </r>
  </si>
  <si>
    <t>Anteilige Reduzierung durch Verwendung Recyclingmaterial (ggü. Referenzjahr):</t>
  </si>
  <si>
    <t>https://www.baumineral.de/downloads/file/481/EPD-Baumineral-021-EFA-F%C3%BCller-HM.pdf</t>
  </si>
  <si>
    <t>BauMineral GmbH</t>
  </si>
  <si>
    <t>BCS Öko-Garantie GmbH - Ecobility Experts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</si>
</sst>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 #,##0_-;_-* &quot;-&quot;??_-;_-@_-"/>
    <numFmt numFmtId="165" formatCode="0.000000"/>
    <numFmt numFmtId="166" formatCode="0.0%"/>
    <numFmt numFmtId="167" formatCode="0.0000"/>
    <numFmt numFmtId="168" formatCode="#,##0.0"/>
    <numFmt numFmtId="169" formatCode="00000"/>
    <numFmt numFmtId="170" formatCode="0.0"/>
    <numFmt numFmtId="171" formatCode="0.000"/>
    <numFmt numFmtId="172" formatCode="#,##0\ &quot;€&quot;"/>
    <numFmt numFmtId="173" formatCode="#,##0.000"/>
    <numFmt numFmtId="174" formatCode="#,##0.00000"/>
  </numFmts>
  <fonts count="79" x14ac:knownFonts="1">
    <font>
      <sz val="11"/>
      <color theme="1"/>
      <name val="Arial"/>
      <family val="2"/>
      <scheme val="minor"/>
    </font>
    <font>
      <sz val="10"/>
      <color theme="1"/>
      <name val="Arial"/>
      <family val="2"/>
    </font>
    <font>
      <sz val="11"/>
      <color theme="1"/>
      <name val="Arial"/>
      <family val="2"/>
      <scheme val="minor"/>
    </font>
    <font>
      <u/>
      <sz val="10"/>
      <color theme="10"/>
      <name val="Arial"/>
      <family val="2"/>
    </font>
    <font>
      <b/>
      <sz val="10"/>
      <color theme="1"/>
      <name val="Arial"/>
      <family val="2"/>
    </font>
    <font>
      <sz val="11"/>
      <name val="Arial"/>
      <family val="2"/>
    </font>
    <font>
      <sz val="9"/>
      <name val="Arial"/>
      <family val="2"/>
    </font>
    <font>
      <sz val="9"/>
      <color theme="1"/>
      <name val="Arial"/>
      <family val="2"/>
    </font>
    <font>
      <b/>
      <u/>
      <sz val="14"/>
      <color theme="0"/>
      <name val="Arial"/>
      <family val="2"/>
    </font>
    <font>
      <b/>
      <u/>
      <sz val="9"/>
      <name val="Arial"/>
      <family val="2"/>
    </font>
    <font>
      <b/>
      <sz val="9"/>
      <name val="Arial"/>
      <family val="2"/>
    </font>
    <font>
      <sz val="10"/>
      <color rgb="FF323232"/>
      <name val="Arial"/>
      <family val="2"/>
    </font>
    <font>
      <sz val="10"/>
      <name val="Arial"/>
      <family val="2"/>
    </font>
    <font>
      <i/>
      <sz val="10"/>
      <color theme="0" tint="-0.499984740745262"/>
      <name val="Arial"/>
      <family val="2"/>
    </font>
    <font>
      <sz val="11"/>
      <color theme="1"/>
      <name val="Arial"/>
      <family val="2"/>
    </font>
    <font>
      <sz val="26"/>
      <color rgb="FFFF0000"/>
      <name val="Arial"/>
      <family val="2"/>
    </font>
    <font>
      <b/>
      <sz val="11"/>
      <color theme="1"/>
      <name val="Arial"/>
      <family val="2"/>
    </font>
    <font>
      <b/>
      <sz val="10"/>
      <name val="Arial"/>
      <family val="2"/>
    </font>
    <font>
      <b/>
      <vertAlign val="subscript"/>
      <sz val="9"/>
      <name val="Arial"/>
      <family val="2"/>
    </font>
    <font>
      <b/>
      <sz val="14"/>
      <color rgb="FF617494"/>
      <name val="Arial"/>
      <family val="2"/>
    </font>
    <font>
      <b/>
      <sz val="12"/>
      <name val="Arial"/>
      <family val="2"/>
    </font>
    <font>
      <sz val="26"/>
      <color theme="6"/>
      <name val="Arial"/>
      <family val="2"/>
    </font>
    <font>
      <sz val="8"/>
      <name val="Arial"/>
      <family val="2"/>
      <scheme val="minor"/>
    </font>
    <font>
      <i/>
      <sz val="10"/>
      <color theme="1"/>
      <name val="Arial"/>
      <family val="2"/>
    </font>
    <font>
      <b/>
      <sz val="18"/>
      <color rgb="FFFFC000"/>
      <name val="Arial"/>
      <family val="2"/>
    </font>
    <font>
      <u/>
      <sz val="11"/>
      <color theme="10"/>
      <name val="Arial"/>
      <family val="2"/>
      <scheme val="minor"/>
    </font>
    <font>
      <vertAlign val="subscript"/>
      <sz val="10"/>
      <color theme="1"/>
      <name val="Arial"/>
      <family val="2"/>
    </font>
    <font>
      <b/>
      <vertAlign val="subscript"/>
      <sz val="10"/>
      <color theme="1"/>
      <name val="Arial"/>
      <family val="2"/>
    </font>
    <font>
      <sz val="10"/>
      <color rgb="FF617494"/>
      <name val="Arial"/>
      <family val="2"/>
      <scheme val="minor"/>
    </font>
    <font>
      <b/>
      <sz val="15"/>
      <color indexed="56"/>
      <name val="Calibri"/>
      <family val="2"/>
    </font>
    <font>
      <b/>
      <sz val="10"/>
      <color rgb="FF617494"/>
      <name val="Calibri"/>
      <family val="2"/>
    </font>
    <font>
      <sz val="10"/>
      <color theme="1"/>
      <name val="Arial"/>
      <family val="2"/>
      <scheme val="minor"/>
    </font>
    <font>
      <b/>
      <sz val="10"/>
      <color indexed="56"/>
      <name val="Calibri"/>
      <family val="2"/>
    </font>
    <font>
      <sz val="11"/>
      <color rgb="FF617494"/>
      <name val="Arial"/>
      <family val="2"/>
      <scheme val="minor"/>
    </font>
    <font>
      <b/>
      <sz val="11"/>
      <color rgb="FF617494"/>
      <name val="Calibri"/>
      <family val="2"/>
    </font>
    <font>
      <sz val="10"/>
      <color rgb="FFFF0000"/>
      <name val="Arial"/>
      <family val="2"/>
      <scheme val="minor"/>
    </font>
    <font>
      <sz val="10"/>
      <name val="Arial"/>
      <family val="2"/>
      <scheme val="minor"/>
    </font>
    <font>
      <u/>
      <sz val="10"/>
      <name val="Arial"/>
      <family val="2"/>
    </font>
    <font>
      <b/>
      <sz val="10"/>
      <color rgb="FFFF0000"/>
      <name val="Arial"/>
      <family val="2"/>
    </font>
    <font>
      <u/>
      <sz val="10"/>
      <name val="Arial"/>
      <family val="2"/>
      <scheme val="minor"/>
    </font>
    <font>
      <u/>
      <sz val="10"/>
      <color rgb="FFFF0000"/>
      <name val="Arial"/>
      <family val="2"/>
      <scheme val="minor"/>
    </font>
    <font>
      <u/>
      <sz val="10"/>
      <color theme="10"/>
      <name val="Arial"/>
      <family val="2"/>
      <scheme val="minor"/>
    </font>
    <font>
      <sz val="10"/>
      <color theme="1" tint="0.499984740745262"/>
      <name val="Arial"/>
      <family val="2"/>
    </font>
    <font>
      <b/>
      <sz val="14"/>
      <color rgb="FF00549F"/>
      <name val="Calibri"/>
      <family val="2"/>
    </font>
    <font>
      <b/>
      <sz val="10"/>
      <color rgb="FF00549F"/>
      <name val="Calibri"/>
      <family val="2"/>
    </font>
    <font>
      <b/>
      <sz val="11"/>
      <color rgb="FF00549F"/>
      <name val="Calibri"/>
      <family val="2"/>
    </font>
    <font>
      <sz val="8"/>
      <name val="Arial"/>
      <family val="2"/>
    </font>
    <font>
      <i/>
      <vertAlign val="subscript"/>
      <sz val="10"/>
      <color theme="1"/>
      <name val="Arial"/>
      <family val="2"/>
    </font>
    <font>
      <b/>
      <sz val="12"/>
      <color theme="1"/>
      <name val="Arial"/>
      <family val="2"/>
    </font>
    <font>
      <sz val="10"/>
      <color theme="1" tint="9.9978637043366805E-2"/>
      <name val="Arial"/>
      <family val="2"/>
    </font>
    <font>
      <b/>
      <sz val="11"/>
      <name val="Arial"/>
      <family val="2"/>
    </font>
    <font>
      <vertAlign val="superscript"/>
      <sz val="10"/>
      <color theme="1"/>
      <name val="Arial"/>
      <family val="2"/>
    </font>
    <font>
      <sz val="9"/>
      <color theme="1" tint="0.249977111117893"/>
      <name val="Arial"/>
      <family val="2"/>
    </font>
    <font>
      <vertAlign val="superscript"/>
      <sz val="9"/>
      <color theme="1" tint="0.249977111117893"/>
      <name val="Arial"/>
      <family val="2"/>
    </font>
    <font>
      <sz val="10"/>
      <color theme="3" tint="9.9978637043366805E-2"/>
      <name val="Arial"/>
      <family val="2"/>
    </font>
    <font>
      <vertAlign val="superscript"/>
      <sz val="10"/>
      <color theme="3" tint="9.9978637043366805E-2"/>
      <name val="Arial"/>
      <family val="2"/>
    </font>
    <font>
      <sz val="10"/>
      <color theme="0" tint="-0.499984740745262"/>
      <name val="Arial"/>
      <family val="2"/>
    </font>
    <font>
      <b/>
      <vertAlign val="superscript"/>
      <sz val="10"/>
      <color theme="1"/>
      <name val="Arial"/>
      <family val="2"/>
    </font>
    <font>
      <b/>
      <vertAlign val="subscript"/>
      <sz val="10"/>
      <name val="Arial"/>
      <family val="2"/>
    </font>
    <font>
      <vertAlign val="subscript"/>
      <sz val="10"/>
      <name val="Arial"/>
      <family val="2"/>
    </font>
    <font>
      <b/>
      <sz val="12"/>
      <color rgb="FF00549F"/>
      <name val="Arial"/>
      <family val="2"/>
    </font>
    <font>
      <b/>
      <sz val="14"/>
      <color rgb="FF00549F"/>
      <name val="Arial"/>
      <family val="2"/>
    </font>
    <font>
      <sz val="12"/>
      <color theme="1"/>
      <name val="Arial"/>
      <family val="2"/>
    </font>
    <font>
      <b/>
      <u/>
      <sz val="11"/>
      <color theme="1"/>
      <name val="Arial"/>
      <family val="2"/>
    </font>
    <font>
      <b/>
      <sz val="14"/>
      <color theme="1"/>
      <name val="Arial"/>
      <family val="2"/>
    </font>
    <font>
      <sz val="14"/>
      <color theme="1"/>
      <name val="Arial"/>
      <family val="2"/>
    </font>
    <font>
      <b/>
      <u/>
      <sz val="14"/>
      <color rgb="FF00549F"/>
      <name val="Arial"/>
      <family val="2"/>
    </font>
    <font>
      <b/>
      <sz val="11"/>
      <color rgb="FF00549F"/>
      <name val="Arial"/>
      <family val="2"/>
    </font>
    <font>
      <b/>
      <sz val="14"/>
      <color theme="6"/>
      <name val="Arial"/>
      <family val="2"/>
    </font>
    <font>
      <vertAlign val="superscript"/>
      <sz val="8"/>
      <color theme="1" tint="0.249977111117893"/>
      <name val="Arial"/>
      <family val="2"/>
    </font>
    <font>
      <b/>
      <sz val="11"/>
      <color theme="7"/>
      <name val="Arial"/>
      <family val="2"/>
    </font>
    <font>
      <b/>
      <sz val="12"/>
      <color theme="7"/>
      <name val="Arial"/>
      <family val="2"/>
    </font>
    <font>
      <sz val="10.5"/>
      <color theme="1"/>
      <name val="Arial"/>
      <family val="2"/>
      <scheme val="minor"/>
    </font>
    <font>
      <b/>
      <sz val="10.5"/>
      <color theme="1"/>
      <name val="Arial"/>
      <family val="2"/>
      <scheme val="minor"/>
    </font>
    <font>
      <u/>
      <sz val="10.5"/>
      <color theme="1"/>
      <name val="Arial"/>
      <family val="2"/>
      <scheme val="minor"/>
    </font>
    <font>
      <b/>
      <u/>
      <sz val="10.5"/>
      <color theme="1"/>
      <name val="Arial"/>
      <family val="2"/>
      <scheme val="minor"/>
    </font>
    <font>
      <sz val="10"/>
      <color theme="0" tint="-0.499984740745262"/>
      <name val="Arial"/>
      <family val="2"/>
      <scheme val="minor"/>
    </font>
    <font>
      <sz val="10"/>
      <color rgb="FFFF0000"/>
      <name val="Arial"/>
      <family val="2"/>
    </font>
    <font>
      <b/>
      <u/>
      <sz val="10"/>
      <color theme="1"/>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5"/>
        <bgColor indexed="64"/>
      </patternFill>
    </fill>
    <fill>
      <patternFill patternType="solid">
        <fgColor rgb="FF00549F"/>
        <bgColor indexed="64"/>
      </patternFill>
    </fill>
    <fill>
      <patternFill patternType="solid">
        <fgColor theme="6"/>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1" tint="0.89999084444715716"/>
        <bgColor indexed="64"/>
      </patternFill>
    </fill>
    <fill>
      <patternFill patternType="solid">
        <fgColor theme="8" tint="0.79998168889431442"/>
        <bgColor indexed="64"/>
      </patternFill>
    </fill>
    <fill>
      <patternFill patternType="solid">
        <fgColor theme="3" tint="0.749992370372631"/>
        <bgColor indexed="64"/>
      </patternFill>
    </fill>
    <fill>
      <patternFill patternType="solid">
        <fgColor theme="1" tint="0.749992370372631"/>
        <bgColor indexed="64"/>
      </patternFill>
    </fill>
    <fill>
      <patternFill patternType="solid">
        <fgColor rgb="FFFFFFFF"/>
        <bgColor indexed="64"/>
      </patternFill>
    </fill>
    <fill>
      <patternFill patternType="solid">
        <fgColor theme="8"/>
        <bgColor indexed="64"/>
      </patternFill>
    </fill>
    <fill>
      <patternFill patternType="solid">
        <fgColor theme="8" tint="0.59999389629810485"/>
        <bgColor indexed="64"/>
      </patternFill>
    </fill>
    <fill>
      <patternFill patternType="solid">
        <fgColor theme="5"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right/>
      <top/>
      <bottom style="thick">
        <color indexed="62"/>
      </bottom>
      <diagonal/>
    </border>
    <border>
      <left/>
      <right/>
      <top style="thin">
        <color rgb="FF617494"/>
      </top>
      <bottom/>
      <diagonal/>
    </border>
    <border>
      <left/>
      <right/>
      <top style="thin">
        <color indexed="64"/>
      </top>
      <bottom style="thin">
        <color indexed="64"/>
      </bottom>
      <diagonal/>
    </border>
    <border>
      <left/>
      <right/>
      <top/>
      <bottom style="thin">
        <color rgb="FF00549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2" fillId="0" borderId="0"/>
    <xf numFmtId="0" fontId="3"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2" fillId="0" borderId="0"/>
    <xf numFmtId="0" fontId="25" fillId="0" borderId="0" applyNumberFormat="0" applyFill="0" applyBorder="0" applyAlignment="0" applyProtection="0"/>
    <xf numFmtId="0" fontId="29" fillId="0" borderId="10" applyNumberFormat="0" applyFill="0" applyAlignment="0" applyProtection="0"/>
  </cellStyleXfs>
  <cellXfs count="393">
    <xf numFmtId="0" fontId="0" fillId="0" borderId="0" xfId="0"/>
    <xf numFmtId="0" fontId="1" fillId="0" borderId="0" xfId="0" applyFont="1"/>
    <xf numFmtId="0" fontId="1" fillId="6" borderId="0" xfId="0" applyFont="1" applyFill="1"/>
    <xf numFmtId="0" fontId="1" fillId="4" borderId="0" xfId="0" applyFont="1" applyFill="1"/>
    <xf numFmtId="14" fontId="1" fillId="4" borderId="0" xfId="0" applyNumberFormat="1" applyFont="1" applyFill="1" applyAlignment="1">
      <alignment horizontal="left"/>
    </xf>
    <xf numFmtId="0" fontId="1" fillId="4" borderId="0" xfId="0" applyFont="1" applyFill="1" applyAlignment="1">
      <alignment horizontal="left"/>
    </xf>
    <xf numFmtId="0" fontId="1" fillId="7" borderId="0" xfId="0" applyFont="1" applyFill="1"/>
    <xf numFmtId="0" fontId="14" fillId="4" borderId="0" xfId="0" applyFont="1" applyFill="1"/>
    <xf numFmtId="0" fontId="4" fillId="4" borderId="0" xfId="0" applyFont="1" applyFill="1"/>
    <xf numFmtId="3" fontId="1" fillId="4" borderId="0" xfId="0" applyNumberFormat="1" applyFont="1" applyFill="1"/>
    <xf numFmtId="168" fontId="1" fillId="4" borderId="0" xfId="0" applyNumberFormat="1" applyFont="1" applyFill="1"/>
    <xf numFmtId="0" fontId="4" fillId="4" borderId="0" xfId="0" applyFont="1" applyFill="1" applyAlignment="1">
      <alignment wrapText="1"/>
    </xf>
    <xf numFmtId="0" fontId="4" fillId="4" borderId="0" xfId="0" applyFont="1" applyFill="1" applyAlignment="1">
      <alignment vertical="center" wrapText="1"/>
    </xf>
    <xf numFmtId="0" fontId="4" fillId="4" borderId="0" xfId="0" applyFont="1" applyFill="1" applyAlignment="1">
      <alignment horizontal="right"/>
    </xf>
    <xf numFmtId="0" fontId="1" fillId="4" borderId="0" xfId="0" applyFont="1" applyFill="1" applyAlignment="1">
      <alignment vertical="center" wrapText="1"/>
    </xf>
    <xf numFmtId="0" fontId="1" fillId="4" borderId="0" xfId="0" applyFont="1" applyFill="1" applyAlignment="1">
      <alignment vertical="center"/>
    </xf>
    <xf numFmtId="4" fontId="1" fillId="4" borderId="0" xfId="0" applyNumberFormat="1" applyFont="1" applyFill="1"/>
    <xf numFmtId="0" fontId="12" fillId="9" borderId="0" xfId="0" applyFont="1" applyFill="1"/>
    <xf numFmtId="0" fontId="12" fillId="9" borderId="0" xfId="0" applyFont="1" applyFill="1" applyAlignment="1">
      <alignment vertical="center"/>
    </xf>
    <xf numFmtId="171" fontId="12" fillId="9" borderId="0" xfId="0" applyNumberFormat="1" applyFont="1" applyFill="1"/>
    <xf numFmtId="1" fontId="12" fillId="9" borderId="0" xfId="0" applyNumberFormat="1" applyFont="1" applyFill="1"/>
    <xf numFmtId="0" fontId="17" fillId="9" borderId="0" xfId="0" applyFont="1" applyFill="1"/>
    <xf numFmtId="0" fontId="20" fillId="9" borderId="0" xfId="0" applyFont="1" applyFill="1"/>
    <xf numFmtId="0" fontId="16" fillId="4" borderId="3" xfId="0" applyFont="1" applyFill="1" applyBorder="1"/>
    <xf numFmtId="0" fontId="1" fillId="4" borderId="3" xfId="0" applyFont="1" applyFill="1" applyBorder="1"/>
    <xf numFmtId="0" fontId="1" fillId="10" borderId="0" xfId="0" applyFont="1" applyFill="1"/>
    <xf numFmtId="3" fontId="1" fillId="10" borderId="0" xfId="0" applyNumberFormat="1" applyFont="1" applyFill="1"/>
    <xf numFmtId="0" fontId="4" fillId="4" borderId="4" xfId="0" applyFont="1" applyFill="1" applyBorder="1"/>
    <xf numFmtId="3" fontId="4" fillId="4" borderId="4" xfId="0" applyNumberFormat="1" applyFont="1" applyFill="1" applyBorder="1"/>
    <xf numFmtId="0" fontId="4" fillId="10" borderId="0" xfId="0" applyFont="1" applyFill="1"/>
    <xf numFmtId="170" fontId="12" fillId="9" borderId="0" xfId="0" applyNumberFormat="1" applyFont="1" applyFill="1"/>
    <xf numFmtId="0" fontId="23" fillId="4" borderId="0" xfId="0" applyFont="1" applyFill="1"/>
    <xf numFmtId="168" fontId="1" fillId="10" borderId="0" xfId="0" applyNumberFormat="1" applyFont="1" applyFill="1"/>
    <xf numFmtId="168" fontId="4" fillId="4" borderId="4" xfId="0" applyNumberFormat="1" applyFont="1" applyFill="1" applyBorder="1"/>
    <xf numFmtId="0" fontId="1" fillId="4" borderId="8" xfId="0" applyFont="1" applyFill="1" applyBorder="1"/>
    <xf numFmtId="0" fontId="4" fillId="4" borderId="8" xfId="0" applyFont="1" applyFill="1" applyBorder="1"/>
    <xf numFmtId="0" fontId="12" fillId="9" borderId="1" xfId="0" applyFont="1" applyFill="1" applyBorder="1" applyAlignment="1">
      <alignment vertical="center"/>
    </xf>
    <xf numFmtId="171" fontId="12" fillId="9" borderId="1" xfId="0" applyNumberFormat="1" applyFont="1" applyFill="1" applyBorder="1"/>
    <xf numFmtId="1" fontId="12" fillId="9" borderId="1" xfId="0" applyNumberFormat="1" applyFont="1" applyFill="1" applyBorder="1"/>
    <xf numFmtId="170" fontId="12" fillId="9" borderId="1" xfId="0" applyNumberFormat="1" applyFont="1" applyFill="1" applyBorder="1"/>
    <xf numFmtId="0" fontId="12" fillId="9" borderId="1" xfId="0" applyFont="1" applyFill="1" applyBorder="1" applyAlignment="1">
      <alignment horizontal="right" vertical="center" wrapText="1"/>
    </xf>
    <xf numFmtId="0" fontId="12" fillId="9" borderId="1" xfId="0" applyFont="1" applyFill="1" applyBorder="1" applyAlignment="1">
      <alignment horizontal="right" vertical="center"/>
    </xf>
    <xf numFmtId="3" fontId="12" fillId="9" borderId="1" xfId="0" applyNumberFormat="1" applyFont="1" applyFill="1" applyBorder="1"/>
    <xf numFmtId="1" fontId="1" fillId="7" borderId="0" xfId="0" applyNumberFormat="1" applyFont="1" applyFill="1"/>
    <xf numFmtId="1" fontId="12" fillId="10" borderId="1" xfId="0" applyNumberFormat="1" applyFont="1" applyFill="1" applyBorder="1"/>
    <xf numFmtId="0" fontId="1" fillId="10" borderId="0" xfId="0" applyFont="1" applyFill="1" applyAlignment="1">
      <alignment vertical="center"/>
    </xf>
    <xf numFmtId="0" fontId="16" fillId="4" borderId="8" xfId="0" applyFont="1" applyFill="1" applyBorder="1"/>
    <xf numFmtId="0" fontId="16" fillId="4" borderId="8" xfId="0" applyFont="1" applyFill="1" applyBorder="1" applyAlignment="1">
      <alignment wrapText="1"/>
    </xf>
    <xf numFmtId="0" fontId="4" fillId="4" borderId="3" xfId="0" applyFont="1" applyFill="1" applyBorder="1" applyAlignment="1">
      <alignment horizontal="right" vertical="center"/>
    </xf>
    <xf numFmtId="0" fontId="1" fillId="4" borderId="3" xfId="0" applyFont="1" applyFill="1" applyBorder="1" applyAlignment="1">
      <alignment vertical="center" wrapText="1"/>
    </xf>
    <xf numFmtId="0" fontId="4" fillId="4" borderId="3" xfId="0" applyFont="1" applyFill="1" applyBorder="1" applyAlignment="1">
      <alignment vertical="center" wrapText="1"/>
    </xf>
    <xf numFmtId="0" fontId="23" fillId="4" borderId="3" xfId="0" applyFont="1" applyFill="1" applyBorder="1"/>
    <xf numFmtId="172" fontId="23" fillId="4" borderId="0" xfId="0" applyNumberFormat="1" applyFont="1" applyFill="1"/>
    <xf numFmtId="172" fontId="23" fillId="4" borderId="3" xfId="0" applyNumberFormat="1" applyFont="1" applyFill="1" applyBorder="1"/>
    <xf numFmtId="172" fontId="1" fillId="4" borderId="3" xfId="0" applyNumberFormat="1" applyFont="1" applyFill="1" applyBorder="1"/>
    <xf numFmtId="172" fontId="4" fillId="4" borderId="0" xfId="0" applyNumberFormat="1" applyFont="1" applyFill="1"/>
    <xf numFmtId="172" fontId="4" fillId="4" borderId="4" xfId="0" applyNumberFormat="1" applyFont="1" applyFill="1" applyBorder="1"/>
    <xf numFmtId="0" fontId="4" fillId="10" borderId="12" xfId="0" applyFont="1" applyFill="1" applyBorder="1"/>
    <xf numFmtId="172" fontId="4" fillId="10" borderId="12" xfId="0" applyNumberFormat="1" applyFont="1" applyFill="1" applyBorder="1"/>
    <xf numFmtId="0" fontId="4" fillId="4" borderId="3" xfId="0" applyFont="1" applyFill="1" applyBorder="1"/>
    <xf numFmtId="0" fontId="4" fillId="4" borderId="3" xfId="0" applyFont="1" applyFill="1" applyBorder="1" applyAlignment="1">
      <alignment horizontal="right"/>
    </xf>
    <xf numFmtId="172" fontId="4" fillId="4" borderId="3" xfId="0" applyNumberFormat="1" applyFont="1" applyFill="1" applyBorder="1"/>
    <xf numFmtId="0" fontId="48" fillId="4" borderId="0" xfId="0" applyFont="1" applyFill="1"/>
    <xf numFmtId="0" fontId="49" fillId="4" borderId="0" xfId="0" applyFont="1" applyFill="1"/>
    <xf numFmtId="0" fontId="50" fillId="9" borderId="0" xfId="0" applyFont="1" applyFill="1"/>
    <xf numFmtId="0" fontId="52" fillId="4" borderId="0" xfId="0" applyFont="1" applyFill="1"/>
    <xf numFmtId="3" fontId="12" fillId="9" borderId="0" xfId="0" applyNumberFormat="1" applyFont="1" applyFill="1"/>
    <xf numFmtId="0" fontId="17" fillId="9" borderId="4" xfId="0" applyFont="1" applyFill="1" applyBorder="1"/>
    <xf numFmtId="1" fontId="17" fillId="9" borderId="4" xfId="0" applyNumberFormat="1" applyFont="1" applyFill="1" applyBorder="1"/>
    <xf numFmtId="0" fontId="17" fillId="12" borderId="0" xfId="0" applyFont="1" applyFill="1"/>
    <xf numFmtId="0" fontId="12" fillId="12" borderId="0" xfId="0" applyFont="1" applyFill="1"/>
    <xf numFmtId="1" fontId="17" fillId="12" borderId="1" xfId="0" applyNumberFormat="1" applyFont="1" applyFill="1" applyBorder="1"/>
    <xf numFmtId="0" fontId="4" fillId="7" borderId="0" xfId="0" applyFont="1" applyFill="1"/>
    <xf numFmtId="170" fontId="17" fillId="9" borderId="0" xfId="0" applyNumberFormat="1" applyFont="1" applyFill="1"/>
    <xf numFmtId="1" fontId="17" fillId="9" borderId="1" xfId="0" applyNumberFormat="1" applyFont="1" applyFill="1" applyBorder="1"/>
    <xf numFmtId="1" fontId="17" fillId="10" borderId="1" xfId="0" applyNumberFormat="1" applyFont="1" applyFill="1" applyBorder="1"/>
    <xf numFmtId="0" fontId="17" fillId="13" borderId="0" xfId="0" applyFont="1" applyFill="1"/>
    <xf numFmtId="1" fontId="17" fillId="13" borderId="1" xfId="0" applyNumberFormat="1" applyFont="1" applyFill="1" applyBorder="1"/>
    <xf numFmtId="0" fontId="4" fillId="4" borderId="0" xfId="0" applyFont="1" applyFill="1" applyAlignment="1">
      <alignment vertical="center"/>
    </xf>
    <xf numFmtId="3" fontId="1" fillId="4" borderId="0" xfId="0" applyNumberFormat="1" applyFont="1" applyFill="1" applyAlignment="1">
      <alignment vertical="center"/>
    </xf>
    <xf numFmtId="4" fontId="1" fillId="4" borderId="0" xfId="0" applyNumberFormat="1" applyFont="1" applyFill="1" applyAlignment="1">
      <alignment vertical="center"/>
    </xf>
    <xf numFmtId="168" fontId="1" fillId="4" borderId="0" xfId="0" applyNumberFormat="1" applyFont="1" applyFill="1" applyAlignment="1">
      <alignment vertical="center"/>
    </xf>
    <xf numFmtId="3" fontId="4" fillId="4" borderId="0" xfId="0" applyNumberFormat="1" applyFont="1" applyFill="1"/>
    <xf numFmtId="0" fontId="49" fillId="4" borderId="0" xfId="0" applyFont="1" applyFill="1" applyAlignment="1">
      <alignment wrapText="1"/>
    </xf>
    <xf numFmtId="0" fontId="49" fillId="4" borderId="0" xfId="0" applyFont="1" applyFill="1" applyAlignment="1">
      <alignment horizontal="left" vertical="top" wrapText="1"/>
    </xf>
    <xf numFmtId="0" fontId="60" fillId="4" borderId="0" xfId="0" applyFont="1" applyFill="1"/>
    <xf numFmtId="0" fontId="62" fillId="4" borderId="0" xfId="0" applyFont="1" applyFill="1"/>
    <xf numFmtId="0" fontId="60" fillId="4" borderId="13" xfId="0" applyFont="1" applyFill="1" applyBorder="1"/>
    <xf numFmtId="0" fontId="1" fillId="4" borderId="13" xfId="0" applyFont="1" applyFill="1" applyBorder="1"/>
    <xf numFmtId="0" fontId="1" fillId="14" borderId="0" xfId="0" applyFont="1" applyFill="1"/>
    <xf numFmtId="0" fontId="61" fillId="14" borderId="0" xfId="0" applyFont="1" applyFill="1"/>
    <xf numFmtId="0" fontId="63" fillId="4" borderId="0" xfId="0" applyFont="1" applyFill="1"/>
    <xf numFmtId="0" fontId="63" fillId="4" borderId="0" xfId="0" applyFont="1" applyFill="1" applyAlignment="1">
      <alignment horizontal="right"/>
    </xf>
    <xf numFmtId="0" fontId="31" fillId="0" borderId="0" xfId="0" applyFont="1" applyAlignment="1">
      <alignment vertical="center" wrapText="1"/>
    </xf>
    <xf numFmtId="0" fontId="64" fillId="4" borderId="0" xfId="0" applyFont="1" applyFill="1"/>
    <xf numFmtId="0" fontId="65" fillId="4" borderId="0" xfId="0" applyFont="1" applyFill="1"/>
    <xf numFmtId="0" fontId="66" fillId="4" borderId="0" xfId="0" applyFont="1" applyFill="1"/>
    <xf numFmtId="173" fontId="1" fillId="10" borderId="0" xfId="0" applyNumberFormat="1" applyFont="1" applyFill="1"/>
    <xf numFmtId="173" fontId="1" fillId="4" borderId="0" xfId="0" applyNumberFormat="1" applyFont="1" applyFill="1"/>
    <xf numFmtId="173" fontId="4" fillId="4" borderId="4" xfId="0" applyNumberFormat="1" applyFont="1" applyFill="1" applyBorder="1"/>
    <xf numFmtId="1" fontId="1" fillId="0" borderId="0" xfId="0" applyNumberFormat="1" applyFont="1"/>
    <xf numFmtId="0" fontId="4" fillId="2" borderId="0" xfId="0" applyFont="1" applyFill="1" applyAlignment="1">
      <alignment horizontal="right"/>
    </xf>
    <xf numFmtId="0" fontId="1" fillId="5" borderId="0" xfId="0" applyFont="1" applyFill="1"/>
    <xf numFmtId="0" fontId="72" fillId="4" borderId="0" xfId="0" applyFont="1" applyFill="1" applyAlignment="1">
      <alignment vertical="center" wrapText="1"/>
    </xf>
    <xf numFmtId="0" fontId="1" fillId="2" borderId="18" xfId="0" applyFont="1" applyFill="1" applyBorder="1"/>
    <xf numFmtId="172" fontId="1" fillId="2" borderId="18" xfId="0" applyNumberFormat="1" applyFont="1" applyFill="1" applyBorder="1"/>
    <xf numFmtId="0" fontId="1" fillId="2" borderId="19" xfId="0" applyFont="1" applyFill="1" applyBorder="1"/>
    <xf numFmtId="172" fontId="1" fillId="2" borderId="19" xfId="0" applyNumberFormat="1" applyFont="1" applyFill="1" applyBorder="1"/>
    <xf numFmtId="0" fontId="73" fillId="4" borderId="0" xfId="0" applyFont="1" applyFill="1" applyAlignment="1">
      <alignment vertical="center" wrapText="1"/>
    </xf>
    <xf numFmtId="166" fontId="1" fillId="2" borderId="0" xfId="4" applyNumberFormat="1" applyFont="1" applyFill="1" applyProtection="1"/>
    <xf numFmtId="9" fontId="1" fillId="2" borderId="0" xfId="4" quotePrefix="1" applyFont="1" applyFill="1" applyAlignment="1" applyProtection="1">
      <alignment horizontal="right"/>
    </xf>
    <xf numFmtId="166" fontId="1" fillId="4" borderId="0" xfId="4" applyNumberFormat="1" applyFont="1" applyFill="1" applyProtection="1"/>
    <xf numFmtId="166" fontId="4" fillId="2" borderId="0" xfId="4" applyNumberFormat="1" applyFont="1" applyFill="1" applyProtection="1"/>
    <xf numFmtId="3" fontId="1" fillId="8" borderId="1" xfId="0" applyNumberFormat="1" applyFont="1" applyFill="1" applyBorder="1" applyProtection="1">
      <protection locked="0"/>
    </xf>
    <xf numFmtId="9" fontId="1" fillId="4" borderId="0" xfId="4" applyFont="1" applyFill="1" applyProtection="1"/>
    <xf numFmtId="9" fontId="49" fillId="4" borderId="0" xfId="4" applyFont="1" applyFill="1" applyProtection="1"/>
    <xf numFmtId="1" fontId="1" fillId="8" borderId="1" xfId="0" applyNumberFormat="1" applyFont="1" applyFill="1" applyBorder="1" applyAlignment="1" applyProtection="1">
      <alignment vertical="center"/>
      <protection locked="0"/>
    </xf>
    <xf numFmtId="0" fontId="1" fillId="4" borderId="0" xfId="0" applyFont="1" applyFill="1" applyAlignment="1">
      <alignment horizontal="center" wrapText="1"/>
    </xf>
    <xf numFmtId="0" fontId="71" fillId="4" borderId="0" xfId="0" applyFont="1" applyFill="1"/>
    <xf numFmtId="0" fontId="4" fillId="2" borderId="0" xfId="0" applyFont="1" applyFill="1" applyAlignment="1">
      <alignment horizontal="center" vertical="center"/>
    </xf>
    <xf numFmtId="0" fontId="4" fillId="4" borderId="0" xfId="0" applyFont="1" applyFill="1" applyAlignment="1">
      <alignment horizontal="center" vertical="center"/>
    </xf>
    <xf numFmtId="3" fontId="1" fillId="2" borderId="0" xfId="0" applyNumberFormat="1" applyFont="1" applyFill="1"/>
    <xf numFmtId="0" fontId="1" fillId="4" borderId="0" xfId="0" applyFont="1" applyFill="1" applyAlignment="1">
      <alignment wrapText="1"/>
    </xf>
    <xf numFmtId="0" fontId="1" fillId="4" borderId="3" xfId="0" applyFont="1" applyFill="1" applyBorder="1" applyAlignment="1">
      <alignment wrapText="1"/>
    </xf>
    <xf numFmtId="0" fontId="4" fillId="2" borderId="3" xfId="0" applyFont="1" applyFill="1" applyBorder="1" applyAlignment="1">
      <alignment horizontal="right" vertical="center" wrapText="1"/>
    </xf>
    <xf numFmtId="0" fontId="4" fillId="2" borderId="3" xfId="0" applyFont="1" applyFill="1" applyBorder="1" applyAlignment="1">
      <alignment vertical="center" wrapText="1"/>
    </xf>
    <xf numFmtId="0" fontId="4" fillId="4" borderId="3" xfId="0" applyFont="1" applyFill="1" applyBorder="1" applyAlignment="1">
      <alignment horizontal="center" vertical="center" wrapText="1"/>
    </xf>
    <xf numFmtId="0" fontId="1" fillId="7" borderId="0" xfId="0" applyFont="1" applyFill="1" applyAlignment="1">
      <alignment wrapText="1"/>
    </xf>
    <xf numFmtId="0" fontId="4" fillId="4" borderId="3" xfId="0" applyFont="1" applyFill="1" applyBorder="1" applyAlignment="1">
      <alignment vertical="center"/>
    </xf>
    <xf numFmtId="0" fontId="4" fillId="4" borderId="3" xfId="0" applyFont="1" applyFill="1" applyBorder="1" applyAlignment="1">
      <alignment horizontal="right"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0" fontId="4" fillId="4" borderId="0" xfId="0" applyFont="1" applyFill="1" applyAlignment="1">
      <alignment horizontal="center" vertical="center" wrapText="1"/>
    </xf>
    <xf numFmtId="0" fontId="4" fillId="2" borderId="0" xfId="0" applyFont="1" applyFill="1"/>
    <xf numFmtId="3" fontId="4" fillId="2" borderId="0" xfId="0" applyNumberFormat="1" applyFont="1" applyFill="1" applyAlignment="1">
      <alignment vertical="center"/>
    </xf>
    <xf numFmtId="0" fontId="4" fillId="2" borderId="0" xfId="0" applyFont="1" applyFill="1" applyAlignment="1">
      <alignment vertical="center"/>
    </xf>
    <xf numFmtId="3" fontId="4" fillId="2" borderId="0" xfId="0" applyNumberFormat="1" applyFont="1" applyFill="1"/>
    <xf numFmtId="4" fontId="4" fillId="2" borderId="0" xfId="0" applyNumberFormat="1" applyFont="1" applyFill="1"/>
    <xf numFmtId="169" fontId="1" fillId="4" borderId="0" xfId="0" applyNumberFormat="1" applyFont="1" applyFill="1" applyAlignment="1">
      <alignment vertical="center" textRotation="90"/>
    </xf>
    <xf numFmtId="0" fontId="1" fillId="2" borderId="0" xfId="0" applyFont="1" applyFill="1"/>
    <xf numFmtId="3" fontId="23" fillId="4" borderId="0" xfId="0" applyNumberFormat="1" applyFont="1" applyFill="1"/>
    <xf numFmtId="4" fontId="4" fillId="4" borderId="4" xfId="0" applyNumberFormat="1" applyFont="1" applyFill="1" applyBorder="1"/>
    <xf numFmtId="168" fontId="4" fillId="4" borderId="0" xfId="0" applyNumberFormat="1" applyFont="1" applyFill="1"/>
    <xf numFmtId="0" fontId="77" fillId="4" borderId="0" xfId="0" applyFont="1" applyFill="1" applyAlignment="1">
      <alignment wrapText="1"/>
    </xf>
    <xf numFmtId="0" fontId="4" fillId="2" borderId="8" xfId="0" applyFont="1" applyFill="1" applyBorder="1"/>
    <xf numFmtId="0" fontId="1" fillId="2" borderId="8" xfId="0" applyFont="1" applyFill="1" applyBorder="1"/>
    <xf numFmtId="166" fontId="1" fillId="7" borderId="0" xfId="0" applyNumberFormat="1" applyFont="1" applyFill="1"/>
    <xf numFmtId="0" fontId="1" fillId="17" borderId="1" xfId="0" applyFont="1" applyFill="1" applyBorder="1" applyProtection="1">
      <protection locked="0"/>
    </xf>
    <xf numFmtId="166" fontId="1" fillId="8" borderId="1" xfId="0" applyNumberFormat="1" applyFont="1" applyFill="1" applyBorder="1" applyProtection="1">
      <protection locked="0"/>
    </xf>
    <xf numFmtId="0" fontId="4" fillId="4" borderId="0" xfId="0" applyFont="1" applyFill="1" applyAlignment="1">
      <alignment horizontal="center" wrapText="1"/>
    </xf>
    <xf numFmtId="2" fontId="1" fillId="4" borderId="0" xfId="0" applyNumberFormat="1" applyFont="1" applyFill="1"/>
    <xf numFmtId="2" fontId="1" fillId="4" borderId="0" xfId="0" quotePrefix="1" applyNumberFormat="1" applyFont="1" applyFill="1" applyAlignment="1">
      <alignment horizontal="right" indent="1"/>
    </xf>
    <xf numFmtId="0" fontId="1" fillId="6" borderId="0" xfId="0" applyFont="1" applyFill="1" applyAlignment="1">
      <alignment horizontal="center" wrapText="1"/>
    </xf>
    <xf numFmtId="4" fontId="1" fillId="8" borderId="1" xfId="0" applyNumberFormat="1" applyFont="1" applyFill="1" applyBorder="1" applyProtection="1">
      <protection locked="0"/>
    </xf>
    <xf numFmtId="0" fontId="1" fillId="6" borderId="0" xfId="0" applyFont="1" applyFill="1" applyAlignment="1">
      <alignment horizontal="left" vertical="top"/>
    </xf>
    <xf numFmtId="0" fontId="1" fillId="4" borderId="0" xfId="0" applyFont="1" applyFill="1" applyAlignment="1">
      <alignment horizontal="left" vertical="top"/>
    </xf>
    <xf numFmtId="0" fontId="1" fillId="4" borderId="0" xfId="0" applyFont="1" applyFill="1" applyAlignment="1">
      <alignment horizontal="left" vertical="top" wrapText="1"/>
    </xf>
    <xf numFmtId="0" fontId="1" fillId="4" borderId="0" xfId="0" applyFont="1" applyFill="1" applyAlignment="1">
      <alignment horizontal="right" vertical="top"/>
    </xf>
    <xf numFmtId="0" fontId="19" fillId="4" borderId="0" xfId="0" applyFont="1" applyFill="1" applyAlignment="1">
      <alignment horizontal="left" vertical="top" wrapText="1"/>
    </xf>
    <xf numFmtId="0" fontId="4" fillId="6" borderId="0" xfId="0" applyFont="1" applyFill="1"/>
    <xf numFmtId="0" fontId="4" fillId="10" borderId="0" xfId="0" applyFont="1" applyFill="1" applyAlignment="1">
      <alignment vertical="center"/>
    </xf>
    <xf numFmtId="0" fontId="12" fillId="10" borderId="0" xfId="0" applyFont="1" applyFill="1" applyAlignment="1">
      <alignment horizontal="left" vertical="center" wrapText="1"/>
    </xf>
    <xf numFmtId="0" fontId="12" fillId="10" borderId="0" xfId="0" applyFont="1" applyFill="1" applyAlignment="1">
      <alignment horizontal="right" vertical="center" wrapText="1"/>
    </xf>
    <xf numFmtId="0" fontId="4" fillId="5" borderId="0" xfId="0" applyFont="1" applyFill="1" applyAlignment="1">
      <alignment vertical="center"/>
    </xf>
    <xf numFmtId="2" fontId="4" fillId="5" borderId="0" xfId="0" applyNumberFormat="1" applyFont="1" applyFill="1" applyAlignment="1">
      <alignment vertical="center"/>
    </xf>
    <xf numFmtId="0" fontId="12" fillId="4" borderId="0" xfId="0" applyFont="1" applyFill="1" applyAlignment="1">
      <alignment horizontal="left" vertical="center" wrapText="1"/>
    </xf>
    <xf numFmtId="0" fontId="12" fillId="4" borderId="0" xfId="0" applyFont="1" applyFill="1" applyAlignment="1">
      <alignment horizontal="right" vertical="center" wrapText="1"/>
    </xf>
    <xf numFmtId="1" fontId="17" fillId="17" borderId="0" xfId="0" applyNumberFormat="1" applyFont="1" applyFill="1" applyAlignment="1">
      <alignment horizontal="right" vertical="center"/>
    </xf>
    <xf numFmtId="2" fontId="17" fillId="17" borderId="0" xfId="0" applyNumberFormat="1" applyFont="1" applyFill="1" applyAlignment="1">
      <alignment vertical="center"/>
    </xf>
    <xf numFmtId="1" fontId="4" fillId="5" borderId="0" xfId="0" applyNumberFormat="1" applyFont="1" applyFill="1" applyAlignment="1">
      <alignment vertical="center"/>
    </xf>
    <xf numFmtId="170" fontId="4" fillId="17" borderId="0" xfId="0" applyNumberFormat="1" applyFont="1" applyFill="1" applyAlignment="1">
      <alignment horizontal="right" vertical="center"/>
    </xf>
    <xf numFmtId="0" fontId="4" fillId="17" borderId="0" xfId="0" applyFont="1" applyFill="1" applyAlignment="1">
      <alignment vertical="center"/>
    </xf>
    <xf numFmtId="170" fontId="4" fillId="5" borderId="0" xfId="0" applyNumberFormat="1" applyFont="1" applyFill="1" applyAlignment="1">
      <alignment horizontal="right" vertical="center"/>
    </xf>
    <xf numFmtId="2" fontId="4" fillId="17" borderId="0" xfId="0" applyNumberFormat="1" applyFont="1" applyFill="1" applyAlignment="1">
      <alignment horizontal="right" vertical="center"/>
    </xf>
    <xf numFmtId="0" fontId="17" fillId="5" borderId="0" xfId="0" applyFont="1" applyFill="1" applyAlignment="1">
      <alignment vertical="center"/>
    </xf>
    <xf numFmtId="2" fontId="1" fillId="6" borderId="0" xfId="0" applyNumberFormat="1" applyFont="1" applyFill="1"/>
    <xf numFmtId="0" fontId="12" fillId="10" borderId="0" xfId="0" applyFont="1" applyFill="1" applyAlignment="1">
      <alignment vertical="center"/>
    </xf>
    <xf numFmtId="0" fontId="12" fillId="10" borderId="0" xfId="0" applyFont="1" applyFill="1" applyAlignment="1">
      <alignment horizontal="right" vertical="center"/>
    </xf>
    <xf numFmtId="49" fontId="12" fillId="10" borderId="0" xfId="0" applyNumberFormat="1" applyFont="1" applyFill="1" applyAlignment="1">
      <alignment horizontal="right" vertical="center"/>
    </xf>
    <xf numFmtId="0" fontId="1" fillId="10" borderId="0" xfId="0" applyFont="1" applyFill="1" applyAlignment="1">
      <alignment horizontal="right" vertical="center"/>
    </xf>
    <xf numFmtId="0" fontId="1" fillId="4" borderId="8" xfId="0" applyFont="1" applyFill="1" applyBorder="1" applyAlignment="1">
      <alignment vertical="center"/>
    </xf>
    <xf numFmtId="0" fontId="1" fillId="4" borderId="8" xfId="0" applyFont="1" applyFill="1" applyBorder="1" applyAlignment="1">
      <alignment horizontal="right" vertical="center"/>
    </xf>
    <xf numFmtId="0" fontId="1" fillId="5" borderId="8" xfId="0" applyFont="1" applyFill="1" applyBorder="1" applyAlignment="1">
      <alignment vertical="center"/>
    </xf>
    <xf numFmtId="0" fontId="4" fillId="4" borderId="0" xfId="0" applyFont="1" applyFill="1" applyAlignment="1">
      <alignment horizontal="right" vertical="center"/>
    </xf>
    <xf numFmtId="0" fontId="1" fillId="4" borderId="3" xfId="0" applyFont="1" applyFill="1" applyBorder="1" applyAlignment="1">
      <alignment vertical="center"/>
    </xf>
    <xf numFmtId="0" fontId="11" fillId="4" borderId="0" xfId="0" applyFont="1" applyFill="1" applyAlignment="1">
      <alignment vertical="center"/>
    </xf>
    <xf numFmtId="0" fontId="1" fillId="4" borderId="0" xfId="0" applyFont="1" applyFill="1" applyAlignment="1">
      <alignment horizontal="right" vertical="center"/>
    </xf>
    <xf numFmtId="0" fontId="1" fillId="5" borderId="0" xfId="0" applyFont="1" applyFill="1" applyAlignment="1">
      <alignment vertical="center"/>
    </xf>
    <xf numFmtId="0" fontId="12" fillId="4" borderId="3" xfId="0" applyFont="1" applyFill="1" applyBorder="1" applyAlignment="1">
      <alignment vertical="center"/>
    </xf>
    <xf numFmtId="0" fontId="1" fillId="4" borderId="3" xfId="0" applyFont="1" applyFill="1" applyBorder="1" applyAlignment="1">
      <alignment horizontal="right" vertical="center"/>
    </xf>
    <xf numFmtId="0" fontId="1" fillId="5" borderId="3" xfId="0" applyFont="1" applyFill="1" applyBorder="1" applyAlignment="1">
      <alignment vertical="center"/>
    </xf>
    <xf numFmtId="0" fontId="1" fillId="4" borderId="0" xfId="0" applyFont="1" applyFill="1" applyAlignment="1">
      <alignment horizontal="right"/>
    </xf>
    <xf numFmtId="0" fontId="1" fillId="6" borderId="0" xfId="0" applyFont="1" applyFill="1" applyAlignment="1">
      <alignment horizontal="right"/>
    </xf>
    <xf numFmtId="0" fontId="14" fillId="6" borderId="0" xfId="0" applyFont="1" applyFill="1"/>
    <xf numFmtId="0" fontId="24" fillId="6" borderId="0" xfId="0" applyFont="1" applyFill="1"/>
    <xf numFmtId="0" fontId="7" fillId="4" borderId="0" xfId="0" applyFont="1" applyFill="1" applyAlignment="1">
      <alignment vertical="center"/>
    </xf>
    <xf numFmtId="0" fontId="15" fillId="4" borderId="0" xfId="0" applyFont="1" applyFill="1"/>
    <xf numFmtId="0" fontId="6" fillId="4" borderId="0" xfId="0" applyFont="1" applyFill="1" applyAlignment="1">
      <alignment vertical="center"/>
    </xf>
    <xf numFmtId="0" fontId="21" fillId="4" borderId="0" xfId="0" applyFont="1" applyFill="1"/>
    <xf numFmtId="0" fontId="9" fillId="4" borderId="0" xfId="0" applyFont="1" applyFill="1" applyAlignment="1">
      <alignment vertical="center"/>
    </xf>
    <xf numFmtId="0" fontId="8" fillId="4" borderId="0" xfId="0" applyFont="1" applyFill="1" applyAlignment="1">
      <alignment horizontal="left" vertical="center"/>
    </xf>
    <xf numFmtId="0" fontId="9" fillId="4" borderId="0" xfId="0" applyFont="1" applyFill="1" applyAlignment="1">
      <alignment horizontal="left" vertical="center"/>
    </xf>
    <xf numFmtId="0" fontId="10" fillId="4" borderId="0" xfId="0" applyFont="1" applyFill="1" applyAlignment="1">
      <alignment vertical="center"/>
    </xf>
    <xf numFmtId="0" fontId="17" fillId="4" borderId="0" xfId="0" applyFont="1" applyFill="1" applyAlignment="1">
      <alignment horizontal="center" vertical="center"/>
    </xf>
    <xf numFmtId="0" fontId="17" fillId="4" borderId="0" xfId="0" applyFont="1" applyFill="1" applyAlignment="1">
      <alignment vertical="center" wrapText="1"/>
    </xf>
    <xf numFmtId="0" fontId="17" fillId="4" borderId="0" xfId="0" applyFont="1" applyFill="1" applyAlignment="1">
      <alignment horizontal="left" vertical="center"/>
    </xf>
    <xf numFmtId="165" fontId="1" fillId="4" borderId="0" xfId="0" applyNumberFormat="1" applyFont="1" applyFill="1"/>
    <xf numFmtId="165" fontId="1" fillId="4" borderId="0" xfId="0" applyNumberFormat="1" applyFont="1" applyFill="1" applyAlignment="1">
      <alignment horizontal="right"/>
    </xf>
    <xf numFmtId="0" fontId="11" fillId="4" borderId="0" xfId="0" applyFont="1" applyFill="1" applyAlignment="1">
      <alignment horizontal="left" vertical="center" wrapText="1" readingOrder="1"/>
    </xf>
    <xf numFmtId="165" fontId="4" fillId="4" borderId="0" xfId="0" applyNumberFormat="1" applyFont="1" applyFill="1"/>
    <xf numFmtId="0" fontId="11" fillId="4" borderId="0" xfId="0" applyFont="1" applyFill="1" applyAlignment="1">
      <alignment horizontal="right" vertical="center" wrapText="1" readingOrder="1"/>
    </xf>
    <xf numFmtId="165" fontId="12" fillId="4" borderId="0" xfId="0" applyNumberFormat="1" applyFont="1" applyFill="1" applyAlignment="1">
      <alignment horizontal="right" vertical="center"/>
    </xf>
    <xf numFmtId="0" fontId="13" fillId="4" borderId="0" xfId="0" applyFont="1" applyFill="1"/>
    <xf numFmtId="165" fontId="13" fillId="4" borderId="0" xfId="0" applyNumberFormat="1" applyFont="1" applyFill="1"/>
    <xf numFmtId="0" fontId="13" fillId="4" borderId="0" xfId="0" applyFont="1" applyFill="1" applyAlignment="1">
      <alignment horizontal="right"/>
    </xf>
    <xf numFmtId="165" fontId="49" fillId="4" borderId="0" xfId="0" applyNumberFormat="1" applyFont="1" applyFill="1"/>
    <xf numFmtId="0" fontId="49" fillId="6" borderId="0" xfId="0" applyFont="1" applyFill="1"/>
    <xf numFmtId="0" fontId="49" fillId="4" borderId="0" xfId="0" applyFont="1" applyFill="1" applyAlignment="1">
      <alignment horizontal="right"/>
    </xf>
    <xf numFmtId="0" fontId="14" fillId="4" borderId="0" xfId="0" applyFont="1" applyFill="1" applyAlignment="1">
      <alignment horizontal="right"/>
    </xf>
    <xf numFmtId="165" fontId="1" fillId="4" borderId="8" xfId="0" applyNumberFormat="1" applyFont="1" applyFill="1" applyBorder="1"/>
    <xf numFmtId="0" fontId="10" fillId="6" borderId="0" xfId="0" applyFont="1" applyFill="1" applyAlignment="1">
      <alignment horizontal="center" vertical="center"/>
    </xf>
    <xf numFmtId="0" fontId="16" fillId="6" borderId="0" xfId="0" applyFont="1" applyFill="1"/>
    <xf numFmtId="165" fontId="10" fillId="6" borderId="0" xfId="0" applyNumberFormat="1" applyFont="1" applyFill="1" applyAlignment="1">
      <alignment horizontal="center" vertical="center"/>
    </xf>
    <xf numFmtId="164" fontId="14" fillId="6" borderId="0" xfId="3" applyNumberFormat="1" applyFont="1" applyFill="1" applyBorder="1" applyProtection="1"/>
    <xf numFmtId="0" fontId="14" fillId="6" borderId="0" xfId="0" applyFont="1" applyFill="1" applyAlignment="1">
      <alignment horizontal="center" vertical="center"/>
    </xf>
    <xf numFmtId="165" fontId="14" fillId="6" borderId="0" xfId="0" applyNumberFormat="1" applyFont="1" applyFill="1"/>
    <xf numFmtId="165" fontId="14" fillId="6" borderId="0" xfId="0" applyNumberFormat="1" applyFont="1" applyFill="1" applyAlignment="1">
      <alignment vertical="center" wrapText="1"/>
    </xf>
    <xf numFmtId="165" fontId="12" fillId="6" borderId="0" xfId="0" applyNumberFormat="1" applyFont="1" applyFill="1" applyAlignment="1">
      <alignment horizontal="right" vertical="center"/>
    </xf>
    <xf numFmtId="165" fontId="5" fillId="6" borderId="0" xfId="0" applyNumberFormat="1" applyFont="1" applyFill="1"/>
    <xf numFmtId="0" fontId="12" fillId="6" borderId="0" xfId="0" applyFont="1" applyFill="1" applyAlignment="1">
      <alignment vertical="center"/>
    </xf>
    <xf numFmtId="165" fontId="5" fillId="6" borderId="0" xfId="0" applyNumberFormat="1" applyFont="1" applyFill="1" applyAlignment="1">
      <alignment vertical="center" wrapText="1"/>
    </xf>
    <xf numFmtId="0" fontId="4" fillId="6" borderId="0" xfId="0" applyFont="1" applyFill="1" applyAlignment="1">
      <alignment wrapText="1"/>
    </xf>
    <xf numFmtId="0" fontId="1" fillId="6" borderId="0" xfId="0" applyFont="1" applyFill="1" applyAlignment="1">
      <alignment wrapText="1"/>
    </xf>
    <xf numFmtId="0" fontId="1" fillId="6" borderId="0" xfId="0" quotePrefix="1" applyFont="1" applyFill="1"/>
    <xf numFmtId="165" fontId="1" fillId="8" borderId="1" xfId="0" applyNumberFormat="1" applyFont="1" applyFill="1" applyBorder="1" applyProtection="1">
      <protection locked="0"/>
    </xf>
    <xf numFmtId="165" fontId="49" fillId="8" borderId="1" xfId="0" applyNumberFormat="1" applyFont="1" applyFill="1" applyBorder="1" applyProtection="1">
      <protection locked="0"/>
    </xf>
    <xf numFmtId="0" fontId="16" fillId="4" borderId="0" xfId="0" applyFont="1" applyFill="1"/>
    <xf numFmtId="0" fontId="4" fillId="4" borderId="1" xfId="0" applyFont="1" applyFill="1" applyBorder="1"/>
    <xf numFmtId="0" fontId="9" fillId="4" borderId="5" xfId="0" applyFont="1" applyFill="1" applyBorder="1" applyAlignment="1">
      <alignment vertical="center"/>
    </xf>
    <xf numFmtId="0" fontId="9" fillId="4" borderId="6" xfId="0" applyFont="1" applyFill="1" applyBorder="1" applyAlignment="1">
      <alignment vertical="center"/>
    </xf>
    <xf numFmtId="0" fontId="1" fillId="4" borderId="16" xfId="0" applyFont="1" applyFill="1" applyBorder="1"/>
    <xf numFmtId="0" fontId="1" fillId="4" borderId="12" xfId="0" applyFont="1" applyFill="1" applyBorder="1"/>
    <xf numFmtId="0" fontId="1" fillId="4" borderId="17" xfId="0" applyFont="1" applyFill="1" applyBorder="1"/>
    <xf numFmtId="0" fontId="1" fillId="4" borderId="1" xfId="0" applyFont="1" applyFill="1" applyBorder="1"/>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6" xfId="0" applyFont="1" applyFill="1" applyBorder="1" applyAlignment="1">
      <alignment horizontal="center" vertical="center"/>
    </xf>
    <xf numFmtId="0" fontId="1" fillId="4" borderId="14" xfId="0" applyFont="1" applyFill="1" applyBorder="1"/>
    <xf numFmtId="0" fontId="1" fillId="4" borderId="15" xfId="0" applyFont="1" applyFill="1" applyBorder="1"/>
    <xf numFmtId="0" fontId="1" fillId="4" borderId="5" xfId="0" applyFont="1" applyFill="1" applyBorder="1"/>
    <xf numFmtId="0" fontId="1" fillId="4" borderId="6" xfId="0" applyFont="1" applyFill="1" applyBorder="1"/>
    <xf numFmtId="0" fontId="1" fillId="4" borderId="20" xfId="0" quotePrefix="1" applyFont="1" applyFill="1" applyBorder="1"/>
    <xf numFmtId="165" fontId="1" fillId="4" borderId="5" xfId="0" applyNumberFormat="1" applyFont="1" applyFill="1" applyBorder="1" applyAlignment="1">
      <alignment horizontal="center"/>
    </xf>
    <xf numFmtId="165" fontId="1" fillId="4" borderId="0" xfId="0" applyNumberFormat="1" applyFont="1" applyFill="1" applyAlignment="1">
      <alignment horizontal="center"/>
    </xf>
    <xf numFmtId="165" fontId="1" fillId="4" borderId="6" xfId="0" applyNumberFormat="1" applyFont="1" applyFill="1" applyBorder="1" applyAlignment="1">
      <alignment horizontal="center"/>
    </xf>
    <xf numFmtId="0" fontId="1" fillId="4" borderId="0" xfId="0" applyFont="1" applyFill="1" applyAlignment="1">
      <alignment horizontal="center"/>
    </xf>
    <xf numFmtId="165" fontId="1" fillId="4" borderId="5" xfId="0" quotePrefix="1" applyNumberFormat="1" applyFont="1" applyFill="1" applyBorder="1" applyAlignment="1">
      <alignment horizontal="center"/>
    </xf>
    <xf numFmtId="165" fontId="1" fillId="4" borderId="0" xfId="0" quotePrefix="1" applyNumberFormat="1" applyFont="1" applyFill="1" applyAlignment="1">
      <alignment horizontal="center"/>
    </xf>
    <xf numFmtId="165" fontId="1" fillId="4" borderId="6" xfId="0" quotePrefix="1" applyNumberFormat="1" applyFont="1" applyFill="1" applyBorder="1" applyAlignment="1">
      <alignment horizontal="center"/>
    </xf>
    <xf numFmtId="0" fontId="1" fillId="4" borderId="0" xfId="0" quotePrefix="1" applyFont="1" applyFill="1"/>
    <xf numFmtId="165" fontId="12" fillId="4" borderId="0" xfId="0" applyNumberFormat="1" applyFont="1" applyFill="1" applyAlignment="1">
      <alignment horizontal="center" vertical="center"/>
    </xf>
    <xf numFmtId="165" fontId="12" fillId="4" borderId="6" xfId="0" applyNumberFormat="1" applyFont="1" applyFill="1" applyBorder="1" applyAlignment="1">
      <alignment horizontal="center" vertical="center"/>
    </xf>
    <xf numFmtId="165" fontId="12" fillId="4" borderId="5" xfId="0" applyNumberFormat="1" applyFont="1" applyFill="1" applyBorder="1" applyAlignment="1">
      <alignment horizontal="center" vertical="center"/>
    </xf>
    <xf numFmtId="0" fontId="1" fillId="4" borderId="20" xfId="0" applyFont="1" applyFill="1" applyBorder="1"/>
    <xf numFmtId="0" fontId="1" fillId="4" borderId="5" xfId="0" applyFont="1" applyFill="1" applyBorder="1" applyAlignment="1">
      <alignment horizontal="center"/>
    </xf>
    <xf numFmtId="0" fontId="1" fillId="4" borderId="6" xfId="0" applyFont="1" applyFill="1" applyBorder="1" applyAlignment="1">
      <alignment horizontal="center"/>
    </xf>
    <xf numFmtId="0" fontId="13" fillId="4" borderId="5" xfId="0" applyFont="1" applyFill="1" applyBorder="1" applyAlignment="1">
      <alignment horizontal="center"/>
    </xf>
    <xf numFmtId="0" fontId="13" fillId="4" borderId="0" xfId="0" applyFont="1" applyFill="1" applyAlignment="1">
      <alignment horizontal="center"/>
    </xf>
    <xf numFmtId="0" fontId="13" fillId="4" borderId="6" xfId="0" applyFont="1" applyFill="1" applyBorder="1" applyAlignment="1">
      <alignment horizontal="center"/>
    </xf>
    <xf numFmtId="165" fontId="56" fillId="4" borderId="0" xfId="0" applyNumberFormat="1" applyFont="1" applyFill="1"/>
    <xf numFmtId="0" fontId="54" fillId="4" borderId="0" xfId="0" applyFont="1" applyFill="1"/>
    <xf numFmtId="165" fontId="54" fillId="4" borderId="5" xfId="0" quotePrefix="1" applyNumberFormat="1" applyFont="1" applyFill="1" applyBorder="1" applyAlignment="1">
      <alignment horizontal="center"/>
    </xf>
    <xf numFmtId="165" fontId="54" fillId="4" borderId="0" xfId="0" quotePrefix="1" applyNumberFormat="1" applyFont="1" applyFill="1" applyAlignment="1">
      <alignment horizontal="center"/>
    </xf>
    <xf numFmtId="165" fontId="54" fillId="4" borderId="6" xfId="0" quotePrefix="1" applyNumberFormat="1" applyFont="1" applyFill="1" applyBorder="1" applyAlignment="1">
      <alignment horizontal="center"/>
    </xf>
    <xf numFmtId="0" fontId="54" fillId="4" borderId="0" xfId="0" applyFont="1" applyFill="1" applyAlignment="1">
      <alignment horizontal="center"/>
    </xf>
    <xf numFmtId="0" fontId="54" fillId="4" borderId="5" xfId="0" applyFont="1" applyFill="1" applyBorder="1" applyAlignment="1">
      <alignment horizontal="center"/>
    </xf>
    <xf numFmtId="0" fontId="54" fillId="4" borderId="6" xfId="0" applyFont="1" applyFill="1" applyBorder="1" applyAlignment="1">
      <alignment horizontal="center"/>
    </xf>
    <xf numFmtId="165" fontId="13" fillId="4" borderId="5" xfId="0" applyNumberFormat="1" applyFont="1" applyFill="1" applyBorder="1" applyAlignment="1">
      <alignment horizontal="center"/>
    </xf>
    <xf numFmtId="165" fontId="13" fillId="4" borderId="6" xfId="0" applyNumberFormat="1" applyFont="1" applyFill="1" applyBorder="1" applyAlignment="1">
      <alignment horizontal="center"/>
    </xf>
    <xf numFmtId="171" fontId="1" fillId="4" borderId="5" xfId="0" applyNumberFormat="1" applyFont="1" applyFill="1" applyBorder="1" applyAlignment="1">
      <alignment horizontal="center"/>
    </xf>
    <xf numFmtId="171" fontId="1" fillId="4" borderId="0" xfId="0" applyNumberFormat="1" applyFont="1" applyFill="1" applyAlignment="1">
      <alignment horizontal="center"/>
    </xf>
    <xf numFmtId="171" fontId="1" fillId="4" borderId="6" xfId="0" applyNumberFormat="1" applyFont="1" applyFill="1" applyBorder="1" applyAlignment="1">
      <alignment horizontal="center"/>
    </xf>
    <xf numFmtId="0" fontId="6" fillId="4" borderId="6" xfId="0" applyFont="1" applyFill="1" applyBorder="1" applyAlignment="1">
      <alignment horizontal="center" vertical="center"/>
    </xf>
    <xf numFmtId="165" fontId="12" fillId="4" borderId="0" xfId="0" applyNumberFormat="1" applyFont="1" applyFill="1" applyAlignment="1">
      <alignment vertical="center"/>
    </xf>
    <xf numFmtId="165" fontId="12" fillId="4" borderId="6" xfId="0" applyNumberFormat="1" applyFont="1" applyFill="1" applyBorder="1" applyAlignment="1">
      <alignment horizontal="left" vertical="center"/>
    </xf>
    <xf numFmtId="165" fontId="12" fillId="4" borderId="6" xfId="0" applyNumberFormat="1" applyFont="1" applyFill="1" applyBorder="1" applyAlignment="1">
      <alignment horizontal="left" vertical="center" wrapText="1"/>
    </xf>
    <xf numFmtId="165" fontId="1" fillId="4" borderId="7" xfId="0" quotePrefix="1" applyNumberFormat="1" applyFont="1" applyFill="1" applyBorder="1" applyAlignment="1">
      <alignment horizontal="center"/>
    </xf>
    <xf numFmtId="165" fontId="1" fillId="4" borderId="3" xfId="0" quotePrefix="1" applyNumberFormat="1" applyFont="1" applyFill="1" applyBorder="1" applyAlignment="1">
      <alignment horizontal="center"/>
    </xf>
    <xf numFmtId="165" fontId="1" fillId="4" borderId="2" xfId="0" quotePrefix="1" applyNumberFormat="1" applyFont="1" applyFill="1" applyBorder="1" applyAlignment="1">
      <alignment horizontal="center"/>
    </xf>
    <xf numFmtId="171" fontId="1" fillId="4" borderId="7" xfId="0" applyNumberFormat="1" applyFont="1" applyFill="1" applyBorder="1" applyAlignment="1">
      <alignment horizontal="center"/>
    </xf>
    <xf numFmtId="171" fontId="1" fillId="4" borderId="3" xfId="0" applyNumberFormat="1" applyFont="1" applyFill="1" applyBorder="1" applyAlignment="1">
      <alignment horizontal="center"/>
    </xf>
    <xf numFmtId="171" fontId="1" fillId="4" borderId="2" xfId="0" applyNumberFormat="1" applyFont="1" applyFill="1" applyBorder="1" applyAlignment="1">
      <alignment horizontal="center"/>
    </xf>
    <xf numFmtId="0" fontId="1" fillId="4" borderId="7" xfId="0" applyFont="1" applyFill="1" applyBorder="1" applyAlignment="1">
      <alignment horizontal="center"/>
    </xf>
    <xf numFmtId="0" fontId="1" fillId="4" borderId="3" xfId="0" applyFont="1" applyFill="1" applyBorder="1" applyAlignment="1">
      <alignment horizontal="center"/>
    </xf>
    <xf numFmtId="0" fontId="6" fillId="4" borderId="2" xfId="0" applyFont="1" applyFill="1" applyBorder="1" applyAlignment="1">
      <alignment horizontal="center" vertical="center"/>
    </xf>
    <xf numFmtId="0" fontId="1" fillId="4" borderId="7" xfId="0" applyFont="1" applyFill="1" applyBorder="1"/>
    <xf numFmtId="165" fontId="12" fillId="4" borderId="2" xfId="0" applyNumberFormat="1" applyFont="1" applyFill="1" applyBorder="1" applyAlignment="1">
      <alignment horizontal="left" vertical="center"/>
    </xf>
    <xf numFmtId="0" fontId="1" fillId="4" borderId="21" xfId="0" quotePrefix="1" applyFont="1" applyFill="1" applyBorder="1"/>
    <xf numFmtId="171" fontId="1" fillId="4" borderId="0" xfId="0" applyNumberFormat="1" applyFont="1" applyFill="1"/>
    <xf numFmtId="171" fontId="46" fillId="6" borderId="0" xfId="0" applyNumberFormat="1" applyFont="1" applyFill="1" applyAlignment="1">
      <alignment vertical="center"/>
    </xf>
    <xf numFmtId="3" fontId="1" fillId="8" borderId="1" xfId="0" applyNumberFormat="1" applyFont="1" applyFill="1" applyBorder="1" applyAlignment="1" applyProtection="1">
      <alignment vertical="center"/>
      <protection locked="0"/>
    </xf>
    <xf numFmtId="170" fontId="1" fillId="8" borderId="1" xfId="0" applyNumberFormat="1" applyFont="1" applyFill="1" applyBorder="1" applyAlignment="1" applyProtection="1">
      <alignment vertical="center"/>
      <protection locked="0"/>
    </xf>
    <xf numFmtId="0" fontId="12" fillId="15" borderId="0" xfId="0" applyFont="1" applyFill="1"/>
    <xf numFmtId="0" fontId="12" fillId="10" borderId="0" xfId="0" applyFont="1" applyFill="1"/>
    <xf numFmtId="0" fontId="12" fillId="16" borderId="0" xfId="0" applyFont="1" applyFill="1"/>
    <xf numFmtId="0" fontId="31" fillId="4" borderId="0" xfId="0" applyFont="1" applyFill="1" applyAlignment="1">
      <alignment vertical="center" wrapText="1"/>
    </xf>
    <xf numFmtId="170" fontId="12" fillId="15" borderId="1" xfId="0" applyNumberFormat="1" applyFont="1" applyFill="1" applyBorder="1"/>
    <xf numFmtId="0" fontId="12" fillId="11" borderId="1" xfId="0" applyFont="1" applyFill="1" applyBorder="1"/>
    <xf numFmtId="11" fontId="12" fillId="11" borderId="1" xfId="0" applyNumberFormat="1" applyFont="1" applyFill="1" applyBorder="1"/>
    <xf numFmtId="1" fontId="12" fillId="9" borderId="1" xfId="0" applyNumberFormat="1" applyFont="1" applyFill="1" applyBorder="1" applyAlignment="1">
      <alignment vertical="center"/>
    </xf>
    <xf numFmtId="11" fontId="12" fillId="9" borderId="1" xfId="0" applyNumberFormat="1" applyFont="1" applyFill="1" applyBorder="1" applyAlignment="1">
      <alignment vertical="center"/>
    </xf>
    <xf numFmtId="3" fontId="12" fillId="11" borderId="1" xfId="0" applyNumberFormat="1" applyFont="1" applyFill="1" applyBorder="1"/>
    <xf numFmtId="0" fontId="12" fillId="11" borderId="0" xfId="0" applyFont="1" applyFill="1"/>
    <xf numFmtId="0" fontId="67" fillId="4" borderId="0" xfId="0" quotePrefix="1" applyFont="1" applyFill="1" applyAlignment="1">
      <alignment horizontal="left" vertical="top" wrapText="1"/>
    </xf>
    <xf numFmtId="0" fontId="4" fillId="4" borderId="0" xfId="0" applyFont="1" applyFill="1" applyAlignment="1">
      <alignment horizontal="left" wrapText="1"/>
    </xf>
    <xf numFmtId="2" fontId="12" fillId="9" borderId="1" xfId="0" applyNumberFormat="1" applyFont="1" applyFill="1" applyBorder="1"/>
    <xf numFmtId="2" fontId="12" fillId="9" borderId="0" xfId="0" applyNumberFormat="1" applyFont="1" applyFill="1"/>
    <xf numFmtId="3" fontId="1" fillId="4" borderId="0" xfId="0" quotePrefix="1" applyNumberFormat="1" applyFont="1" applyFill="1" applyAlignment="1">
      <alignment horizontal="right" vertical="center"/>
    </xf>
    <xf numFmtId="0" fontId="69" fillId="4" borderId="0" xfId="0" applyFont="1" applyFill="1" applyAlignment="1">
      <alignment horizontal="right" vertical="top"/>
    </xf>
    <xf numFmtId="0" fontId="52" fillId="4" borderId="0" xfId="0" applyFont="1" applyFill="1" applyAlignment="1">
      <alignment horizontal="left"/>
    </xf>
    <xf numFmtId="171" fontId="1" fillId="8" borderId="1" xfId="0" applyNumberFormat="1" applyFont="1" applyFill="1" applyBorder="1" applyAlignment="1" applyProtection="1">
      <alignment vertical="center"/>
      <protection locked="0"/>
    </xf>
    <xf numFmtId="3" fontId="1" fillId="0" borderId="0" xfId="0" applyNumberFormat="1" applyFont="1" applyAlignment="1">
      <alignment vertical="center"/>
    </xf>
    <xf numFmtId="174" fontId="1" fillId="4" borderId="0" xfId="0" quotePrefix="1" applyNumberFormat="1" applyFont="1" applyFill="1" applyAlignment="1">
      <alignment horizontal="right" vertical="center"/>
    </xf>
    <xf numFmtId="0" fontId="12" fillId="9" borderId="1" xfId="0" applyFont="1" applyFill="1" applyBorder="1"/>
    <xf numFmtId="170" fontId="12" fillId="3" borderId="1" xfId="0" applyNumberFormat="1" applyFont="1" applyFill="1" applyBorder="1"/>
    <xf numFmtId="0" fontId="28" fillId="6" borderId="0" xfId="0" applyFont="1" applyFill="1" applyAlignment="1">
      <alignment horizontal="left" vertical="top"/>
    </xf>
    <xf numFmtId="0" fontId="30" fillId="6" borderId="0" xfId="7" applyFont="1" applyFill="1" applyBorder="1" applyAlignment="1" applyProtection="1">
      <alignment horizontal="left" vertical="top"/>
    </xf>
    <xf numFmtId="0" fontId="28" fillId="4" borderId="0" xfId="0" applyFont="1" applyFill="1" applyAlignment="1">
      <alignment horizontal="left" vertical="top"/>
    </xf>
    <xf numFmtId="0" fontId="30" fillId="4" borderId="0" xfId="7" applyFont="1" applyFill="1" applyBorder="1" applyAlignment="1" applyProtection="1">
      <alignment horizontal="left" vertical="top"/>
    </xf>
    <xf numFmtId="0" fontId="43" fillId="4" borderId="0" xfId="7" applyFont="1" applyFill="1" applyBorder="1" applyAlignment="1" applyProtection="1">
      <alignment horizontal="left" vertical="top"/>
    </xf>
    <xf numFmtId="0" fontId="44" fillId="4" borderId="0" xfId="7" applyFont="1" applyFill="1" applyBorder="1" applyAlignment="1" applyProtection="1">
      <alignment horizontal="left" vertical="top"/>
    </xf>
    <xf numFmtId="0" fontId="31" fillId="4" borderId="0" xfId="0" applyFont="1" applyFill="1" applyAlignment="1">
      <alignment horizontal="left" vertical="top"/>
    </xf>
    <xf numFmtId="0" fontId="32" fillId="4" borderId="0" xfId="7" applyFont="1" applyFill="1" applyBorder="1" applyAlignment="1" applyProtection="1">
      <alignment horizontal="left" vertical="top"/>
    </xf>
    <xf numFmtId="0" fontId="31" fillId="6" borderId="0" xfId="0" applyFont="1" applyFill="1" applyAlignment="1">
      <alignment horizontal="left" vertical="top"/>
    </xf>
    <xf numFmtId="0" fontId="33" fillId="4" borderId="0" xfId="0" applyFont="1" applyFill="1" applyAlignment="1">
      <alignment horizontal="left" vertical="top"/>
    </xf>
    <xf numFmtId="0" fontId="45" fillId="4" borderId="0" xfId="7" applyFont="1" applyFill="1" applyBorder="1" applyAlignment="1" applyProtection="1">
      <alignment horizontal="left" vertical="top"/>
    </xf>
    <xf numFmtId="0" fontId="34" fillId="4" borderId="0" xfId="7" applyFont="1" applyFill="1" applyBorder="1" applyAlignment="1" applyProtection="1">
      <alignment horizontal="left" vertical="top"/>
    </xf>
    <xf numFmtId="0" fontId="33" fillId="6" borderId="0" xfId="0" applyFont="1" applyFill="1" applyAlignment="1">
      <alignment horizontal="left" vertical="top"/>
    </xf>
    <xf numFmtId="0" fontId="32" fillId="2" borderId="11" xfId="7" applyFont="1" applyFill="1" applyBorder="1" applyAlignment="1" applyProtection="1">
      <alignment horizontal="left" vertical="top"/>
    </xf>
    <xf numFmtId="0" fontId="36" fillId="4" borderId="0" xfId="0" applyFont="1" applyFill="1" applyAlignment="1">
      <alignment horizontal="left" vertical="top"/>
    </xf>
    <xf numFmtId="0" fontId="36" fillId="4" borderId="0" xfId="0" applyFont="1" applyFill="1" applyAlignment="1">
      <alignment horizontal="left" vertical="top" wrapText="1"/>
    </xf>
    <xf numFmtId="0" fontId="41" fillId="4" borderId="0" xfId="6" applyFont="1" applyFill="1" applyAlignment="1" applyProtection="1">
      <alignment horizontal="left" vertical="top"/>
    </xf>
    <xf numFmtId="0" fontId="36" fillId="6" borderId="0" xfId="0" applyFont="1" applyFill="1" applyAlignment="1">
      <alignment horizontal="left" vertical="top"/>
    </xf>
    <xf numFmtId="0" fontId="35" fillId="4" borderId="0" xfId="0" applyFont="1" applyFill="1" applyAlignment="1">
      <alignment horizontal="left" vertical="top"/>
    </xf>
    <xf numFmtId="0" fontId="39" fillId="4" borderId="0" xfId="6" applyFont="1" applyFill="1" applyAlignment="1" applyProtection="1">
      <alignment horizontal="left" vertical="top" wrapText="1"/>
    </xf>
    <xf numFmtId="0" fontId="35" fillId="6" borderId="0" xfId="0" applyFont="1" applyFill="1" applyAlignment="1">
      <alignment horizontal="left" vertical="top"/>
    </xf>
    <xf numFmtId="0" fontId="38" fillId="6" borderId="0" xfId="0" applyFont="1" applyFill="1" applyAlignment="1">
      <alignment horizontal="left" vertical="top"/>
    </xf>
    <xf numFmtId="0" fontId="31" fillId="4" borderId="0" xfId="0" applyFont="1" applyFill="1" applyAlignment="1">
      <alignment horizontal="left" vertical="top" wrapText="1"/>
    </xf>
    <xf numFmtId="0" fontId="36" fillId="4" borderId="0" xfId="0" applyFont="1" applyFill="1" applyAlignment="1">
      <alignment vertical="top" wrapText="1"/>
    </xf>
    <xf numFmtId="0" fontId="39" fillId="4" borderId="0" xfId="6" applyFont="1" applyFill="1" applyAlignment="1" applyProtection="1">
      <alignment horizontal="left" vertical="top"/>
    </xf>
    <xf numFmtId="0" fontId="25" fillId="4" borderId="0" xfId="6" applyFill="1" applyAlignment="1" applyProtection="1">
      <alignment horizontal="left" vertical="top" wrapText="1"/>
    </xf>
    <xf numFmtId="0" fontId="36" fillId="6" borderId="0" xfId="0" applyFont="1" applyFill="1" applyAlignment="1">
      <alignment horizontal="left" vertical="top" wrapText="1"/>
    </xf>
    <xf numFmtId="0" fontId="40" fillId="4" borderId="0" xfId="6" applyFont="1" applyFill="1" applyAlignment="1" applyProtection="1">
      <alignment horizontal="left" vertical="top"/>
    </xf>
    <xf numFmtId="0" fontId="37" fillId="4" borderId="0" xfId="6" applyFont="1" applyFill="1" applyAlignment="1" applyProtection="1">
      <alignment vertical="top"/>
    </xf>
    <xf numFmtId="0" fontId="12" fillId="6" borderId="0" xfId="0" applyFont="1" applyFill="1" applyAlignment="1">
      <alignment horizontal="left" vertical="top"/>
    </xf>
    <xf numFmtId="0" fontId="39" fillId="4" borderId="0" xfId="6" applyFont="1" applyFill="1" applyAlignment="1" applyProtection="1">
      <alignment vertical="top"/>
    </xf>
    <xf numFmtId="0" fontId="36" fillId="4" borderId="0" xfId="0" applyFont="1" applyFill="1" applyAlignment="1">
      <alignment wrapText="1"/>
    </xf>
    <xf numFmtId="0" fontId="25" fillId="4" borderId="0" xfId="6" applyFill="1" applyAlignment="1" applyProtection="1">
      <alignment horizontal="left" vertical="top"/>
    </xf>
    <xf numFmtId="0" fontId="4" fillId="6" borderId="0" xfId="0" applyFont="1" applyFill="1" applyAlignment="1">
      <alignment horizontal="left" vertical="top"/>
    </xf>
    <xf numFmtId="0" fontId="42" fillId="6" borderId="0" xfId="0" applyFont="1" applyFill="1" applyAlignment="1">
      <alignment horizontal="left" vertical="top"/>
    </xf>
    <xf numFmtId="0" fontId="1" fillId="4" borderId="6" xfId="0" applyFont="1" applyFill="1" applyBorder="1" applyAlignment="1">
      <alignment wrapText="1"/>
    </xf>
    <xf numFmtId="0" fontId="1" fillId="4" borderId="0" xfId="0" applyFont="1" applyFill="1" applyProtection="1">
      <protection locked="0"/>
    </xf>
    <xf numFmtId="0" fontId="1" fillId="2" borderId="0" xfId="0" applyFont="1" applyFill="1" applyAlignment="1">
      <alignment vertical="center"/>
    </xf>
    <xf numFmtId="166" fontId="1" fillId="2" borderId="0" xfId="4" applyNumberFormat="1" applyFont="1" applyFill="1" applyAlignment="1" applyProtection="1">
      <alignment vertical="center"/>
    </xf>
    <xf numFmtId="166" fontId="1" fillId="8" borderId="1" xfId="0" applyNumberFormat="1" applyFont="1" applyFill="1" applyBorder="1" applyAlignment="1" applyProtection="1">
      <alignment vertical="center"/>
      <protection locked="0"/>
    </xf>
    <xf numFmtId="0" fontId="1" fillId="17" borderId="1" xfId="0" applyFont="1" applyFill="1" applyBorder="1" applyAlignment="1" applyProtection="1">
      <alignment vertical="center"/>
      <protection locked="0"/>
    </xf>
    <xf numFmtId="0" fontId="1" fillId="7" borderId="0" xfId="0" applyFont="1" applyFill="1" applyAlignment="1">
      <alignment vertical="center"/>
    </xf>
    <xf numFmtId="166" fontId="1" fillId="4" borderId="0" xfId="0" applyNumberFormat="1" applyFont="1" applyFill="1" applyAlignment="1">
      <alignment vertical="center"/>
    </xf>
    <xf numFmtId="0" fontId="1" fillId="2" borderId="9" xfId="0" applyFont="1" applyFill="1" applyBorder="1" applyAlignment="1">
      <alignment vertical="center"/>
    </xf>
    <xf numFmtId="167" fontId="4" fillId="2" borderId="9" xfId="0" applyNumberFormat="1" applyFont="1" applyFill="1" applyBorder="1" applyAlignment="1">
      <alignment vertical="center"/>
    </xf>
    <xf numFmtId="0" fontId="4" fillId="2" borderId="9" xfId="0" applyFont="1" applyFill="1" applyBorder="1" applyAlignment="1">
      <alignment vertical="center"/>
    </xf>
    <xf numFmtId="0" fontId="4" fillId="2" borderId="9" xfId="0" applyFont="1" applyFill="1" applyBorder="1" applyAlignment="1">
      <alignment vertical="center" wrapText="1"/>
    </xf>
    <xf numFmtId="3" fontId="4" fillId="2" borderId="8" xfId="0" applyNumberFormat="1" applyFont="1" applyFill="1" applyBorder="1"/>
    <xf numFmtId="0" fontId="70" fillId="4" borderId="0" xfId="0" applyFont="1" applyFill="1" applyProtection="1">
      <protection locked="0"/>
    </xf>
    <xf numFmtId="0" fontId="1" fillId="4" borderId="0" xfId="0" applyFont="1" applyFill="1" applyAlignment="1">
      <alignment horizontal="left" wrapText="1"/>
    </xf>
    <xf numFmtId="0" fontId="68" fillId="4" borderId="0" xfId="0" applyFont="1" applyFill="1" applyAlignment="1">
      <alignment horizontal="left" vertical="top" wrapText="1"/>
    </xf>
    <xf numFmtId="0" fontId="1" fillId="4" borderId="0" xfId="0" applyFont="1" applyFill="1" applyAlignment="1">
      <alignment horizontal="left" vertical="center" wrapText="1"/>
    </xf>
    <xf numFmtId="0" fontId="4" fillId="5" borderId="0" xfId="0" applyFont="1" applyFill="1" applyAlignment="1">
      <alignment horizontal="center" wrapText="1"/>
    </xf>
    <xf numFmtId="0" fontId="4" fillId="5" borderId="3" xfId="0" applyFont="1" applyFill="1" applyBorder="1" applyAlignment="1">
      <alignment horizontal="center"/>
    </xf>
    <xf numFmtId="0" fontId="4" fillId="5" borderId="3" xfId="0" applyFont="1" applyFill="1" applyBorder="1" applyAlignment="1">
      <alignment horizontal="center" vertical="center" wrapText="1"/>
    </xf>
    <xf numFmtId="0" fontId="1" fillId="4" borderId="0" xfId="0" applyFont="1" applyFill="1" applyAlignment="1">
      <alignment horizontal="left" vertical="top" wrapText="1"/>
    </xf>
    <xf numFmtId="0" fontId="17" fillId="4" borderId="1" xfId="0" applyFont="1" applyFill="1" applyBorder="1" applyAlignment="1">
      <alignment horizontal="center" vertical="center"/>
    </xf>
    <xf numFmtId="165" fontId="17" fillId="4" borderId="1" xfId="0" applyNumberFormat="1" applyFont="1" applyFill="1" applyBorder="1" applyAlignment="1">
      <alignment horizontal="center" vertical="center"/>
    </xf>
    <xf numFmtId="0" fontId="4" fillId="4" borderId="16" xfId="0" applyFont="1" applyFill="1" applyBorder="1" applyAlignment="1">
      <alignment horizontal="center"/>
    </xf>
    <xf numFmtId="0" fontId="4" fillId="4" borderId="12" xfId="0" applyFont="1" applyFill="1" applyBorder="1" applyAlignment="1">
      <alignment horizontal="center"/>
    </xf>
    <xf numFmtId="0" fontId="4" fillId="4" borderId="17" xfId="0" applyFont="1" applyFill="1" applyBorder="1" applyAlignment="1">
      <alignment horizontal="center"/>
    </xf>
    <xf numFmtId="0" fontId="72" fillId="4" borderId="0" xfId="0" applyFont="1" applyFill="1" applyAlignment="1">
      <alignment horizontal="left" vertical="center" wrapText="1"/>
    </xf>
    <xf numFmtId="0" fontId="1" fillId="4" borderId="0" xfId="0" applyFont="1" applyFill="1" applyAlignment="1">
      <alignment horizontal="center" wrapText="1"/>
    </xf>
    <xf numFmtId="0" fontId="4" fillId="2" borderId="0" xfId="0" applyFont="1" applyFill="1" applyAlignment="1">
      <alignment horizontal="center"/>
    </xf>
    <xf numFmtId="0" fontId="67" fillId="4" borderId="0" xfId="0" quotePrefix="1" applyFont="1" applyFill="1" applyAlignment="1">
      <alignment horizontal="left" vertical="top" wrapText="1"/>
    </xf>
    <xf numFmtId="0" fontId="52" fillId="0" borderId="0" xfId="0" applyFont="1" applyAlignment="1">
      <alignment horizontal="left"/>
    </xf>
    <xf numFmtId="0" fontId="52" fillId="4" borderId="0" xfId="0" applyFont="1" applyFill="1" applyAlignment="1">
      <alignment horizontal="left" vertical="top" wrapText="1"/>
    </xf>
    <xf numFmtId="0" fontId="52" fillId="4" borderId="0" xfId="0" applyFont="1" applyFill="1" applyAlignment="1">
      <alignment horizontal="left"/>
    </xf>
  </cellXfs>
  <cellStyles count="8">
    <cellStyle name="Hyperlink 3" xfId="2" xr:uid="{FE43FF12-309F-466A-8B9F-99FCC9F1A3D3}"/>
    <cellStyle name="Komma" xfId="3" builtinId="3"/>
    <cellStyle name="Link" xfId="6" builtinId="8"/>
    <cellStyle name="Prozent" xfId="4" builtinId="5"/>
    <cellStyle name="Standard" xfId="0" builtinId="0"/>
    <cellStyle name="Standard 3" xfId="5" xr:uid="{56347E7B-D837-4409-A3F4-6159F0A359B8}"/>
    <cellStyle name="Standard 9" xfId="1" xr:uid="{05F2A7A9-12E8-4B72-B552-3E61B166FDA8}"/>
    <cellStyle name="Überschrift 1 2" xfId="7" xr:uid="{28F6B9AA-AAEE-4A71-859D-B02611E693F0}"/>
  </cellStyles>
  <dxfs count="1">
    <dxf>
      <fill>
        <patternFill>
          <bgColor theme="0" tint="-4.9989318521683403E-2"/>
        </patternFill>
      </fill>
    </dxf>
  </dxfs>
  <tableStyles count="0" defaultTableStyle="TableStyleMedium2" defaultPivotStyle="PivotStyleMedium9"/>
  <colors>
    <mruColors>
      <color rgb="FF00549F"/>
      <color rgb="FFF3F3F3"/>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'M1 Härtekammern'!$D$111</c:f>
              <c:strCache>
                <c:ptCount val="1"/>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7E-47C3-BE4D-B66F732DA7DE}"/>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7E-47C3-BE4D-B66F732DA7DE}"/>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7E-47C3-BE4D-B66F732DA7D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Härtekammern'!$E$111:$G$111</c:f>
              <c:numCache>
                <c:formatCode>#,##0.0</c:formatCode>
                <c:ptCount val="3"/>
                <c:pt idx="0">
                  <c:v>#N/A</c:v>
                </c:pt>
                <c:pt idx="1">
                  <c:v>#N/A</c:v>
                </c:pt>
                <c:pt idx="2">
                  <c:v>#N/A</c:v>
                </c:pt>
              </c:numCache>
            </c:numRef>
          </c:val>
          <c:extLst>
            <c:ext xmlns:c16="http://schemas.microsoft.com/office/drawing/2014/chart" uri="{C3380CC4-5D6E-409C-BE32-E72D297353CC}">
              <c16:uniqueId val="{00000000-2E13-42F9-A740-CF133AF8B4C2}"/>
            </c:ext>
          </c:extLst>
        </c:ser>
        <c:ser>
          <c:idx val="1"/>
          <c:order val="1"/>
          <c:tx>
            <c:strRef>
              <c:f>'M1 Härtekammern'!$D$112</c:f>
              <c:strCache>
                <c:ptCount val="1"/>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7E-47C3-BE4D-B66F732DA7DE}"/>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7E-47C3-BE4D-B66F732DA7DE}"/>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7E-47C3-BE4D-B66F732DA7D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Härtekammern'!$E$112:$G$112</c:f>
              <c:numCache>
                <c:formatCode>#,##0.0</c:formatCode>
                <c:ptCount val="3"/>
                <c:pt idx="0">
                  <c:v>#N/A</c:v>
                </c:pt>
                <c:pt idx="1">
                  <c:v>#N/A</c:v>
                </c:pt>
                <c:pt idx="2">
                  <c:v>#N/A</c:v>
                </c:pt>
              </c:numCache>
            </c:numRef>
          </c:val>
          <c:extLst>
            <c:ext xmlns:c16="http://schemas.microsoft.com/office/drawing/2014/chart" uri="{C3380CC4-5D6E-409C-BE32-E72D297353CC}">
              <c16:uniqueId val="{00000001-2E13-42F9-A740-CF133AF8B4C2}"/>
            </c:ext>
          </c:extLst>
        </c:ser>
        <c:ser>
          <c:idx val="2"/>
          <c:order val="2"/>
          <c:tx>
            <c:strRef>
              <c:f>'M1 Härtekammern'!$D$113</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Härtekammern'!$E$113:$G$113</c:f>
              <c:numCache>
                <c:formatCode>#,##0.0</c:formatCode>
                <c:ptCount val="3"/>
                <c:pt idx="0">
                  <c:v>286.5</c:v>
                </c:pt>
                <c:pt idx="1">
                  <c:v>195.66483377231765</c:v>
                </c:pt>
                <c:pt idx="2">
                  <c:v>96.432335925573213</c:v>
                </c:pt>
              </c:numCache>
            </c:numRef>
          </c:val>
          <c:extLst>
            <c:ext xmlns:c16="http://schemas.microsoft.com/office/drawing/2014/chart" uri="{C3380CC4-5D6E-409C-BE32-E72D297353CC}">
              <c16:uniqueId val="{00000002-2E13-42F9-A740-CF133AF8B4C2}"/>
            </c:ext>
          </c:extLst>
        </c:ser>
        <c:ser>
          <c:idx val="3"/>
          <c:order val="3"/>
          <c:tx>
            <c:strRef>
              <c:f>'M1 Härtekammern'!$D$117</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Härtekammern'!$E$117:$G$117</c:f>
              <c:numCache>
                <c:formatCode>#,##0.0</c:formatCode>
                <c:ptCount val="3"/>
                <c:pt idx="0">
                  <c:v>#N/A</c:v>
                </c:pt>
                <c:pt idx="1">
                  <c:v>#N/A</c:v>
                </c:pt>
                <c:pt idx="2">
                  <c:v>#N/A</c:v>
                </c:pt>
              </c:numCache>
            </c:numRef>
          </c:val>
          <c:extLst>
            <c:ext xmlns:c16="http://schemas.microsoft.com/office/drawing/2014/chart" uri="{C3380CC4-5D6E-409C-BE32-E72D297353CC}">
              <c16:uniqueId val="{00000003-2E13-42F9-A740-CF133AF8B4C2}"/>
            </c:ext>
          </c:extLst>
        </c:ser>
        <c:ser>
          <c:idx val="4"/>
          <c:order val="4"/>
          <c:tx>
            <c:strRef>
              <c:f>'M1 Härtekammern'!$D$114</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'M1 Härtekammern'!$E$114:$G$114</c:f>
              <c:numCache>
                <c:formatCode>#,##0.0</c:formatCode>
                <c:ptCount val="3"/>
                <c:pt idx="0">
                  <c:v>#N/A</c:v>
                </c:pt>
                <c:pt idx="1">
                  <c:v>#N/A</c:v>
                </c:pt>
                <c:pt idx="2">
                  <c:v>#N/A</c:v>
                </c:pt>
              </c:numCache>
            </c:numRef>
          </c:val>
          <c:extLst>
            <c:ext xmlns:c16="http://schemas.microsoft.com/office/drawing/2014/chart" uri="{C3380CC4-5D6E-409C-BE32-E72D297353CC}">
              <c16:uniqueId val="{00000000-147E-47C3-BE4D-B66F732DA7DE}"/>
            </c:ext>
          </c:extLst>
        </c:ser>
        <c:ser>
          <c:idx val="5"/>
          <c:order val="5"/>
          <c:tx>
            <c:strRef>
              <c:f>'M1 Härtekammern'!$D$115</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'M1 Härtekammern'!$E$115:$G$115</c:f>
              <c:numCache>
                <c:formatCode>#,##0.0</c:formatCode>
                <c:ptCount val="3"/>
                <c:pt idx="0">
                  <c:v>#N/A</c:v>
                </c:pt>
                <c:pt idx="1">
                  <c:v>#N/A</c:v>
                </c:pt>
                <c:pt idx="2">
                  <c:v>#N/A</c:v>
                </c:pt>
              </c:numCache>
            </c:numRef>
          </c:val>
          <c:extLst>
            <c:ext xmlns:c16="http://schemas.microsoft.com/office/drawing/2014/chart" uri="{C3380CC4-5D6E-409C-BE32-E72D297353CC}">
              <c16:uniqueId val="{00000001-147E-47C3-BE4D-B66F732DA7DE}"/>
            </c:ext>
          </c:extLst>
        </c:ser>
        <c:ser>
          <c:idx val="6"/>
          <c:order val="6"/>
          <c:tx>
            <c:strRef>
              <c:f>'M1 Härtekammern'!$D$116</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'M1 Härtekammern'!$E$116:$G$116</c:f>
              <c:numCache>
                <c:formatCode>#,##0.0</c:formatCode>
                <c:ptCount val="3"/>
                <c:pt idx="0">
                  <c:v>#N/A</c:v>
                </c:pt>
                <c:pt idx="1">
                  <c:v>#N/A</c:v>
                </c:pt>
                <c:pt idx="2">
                  <c:v>#N/A</c:v>
                </c:pt>
              </c:numCache>
            </c:numRef>
          </c:val>
          <c:extLst>
            <c:ext xmlns:c16="http://schemas.microsoft.com/office/drawing/2014/chart" uri="{C3380CC4-5D6E-409C-BE32-E72D297353CC}">
              <c16:uniqueId val="{00000002-147E-47C3-BE4D-B66F732DA7DE}"/>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'M1 Härtekammern'!$L$74</c:f>
              <c:strCache>
                <c:ptCount val="1"/>
                <c:pt idx="0">
                  <c:v>Scope 3</c:v>
                </c:pt>
              </c:strCache>
            </c:strRef>
          </c:tx>
          <c:spPr>
            <a:solidFill>
              <a:schemeClr val="accent3"/>
            </a:solidFill>
            <a:ln>
              <a:noFill/>
            </a:ln>
            <a:effectLst/>
          </c:spPr>
          <c:invertIfNegative val="0"/>
          <c:cat>
            <c:multiLvlStrRef>
              <c:f>'M1 Härtekammern'!$M$70:$O$71</c:f>
              <c:multiLvlStrCache>
                <c:ptCount val="3"/>
                <c:lvl>
                  <c:pt idx="0">
                    <c:v>Referenz</c:v>
                  </c:pt>
                </c:lvl>
                <c:lvl>
                  <c:pt idx="0">
                    <c:v>2020</c:v>
                  </c:pt>
                  <c:pt idx="1">
                    <c:v>2025</c:v>
                  </c:pt>
                  <c:pt idx="2">
                    <c:v>2030</c:v>
                  </c:pt>
                </c:lvl>
              </c:multiLvlStrCache>
            </c:multiLvlStrRef>
          </c:cat>
          <c:val>
            <c:numRef>
              <c:f>'M1 Härtekammern'!$M$74:$O$74</c:f>
              <c:numCache>
                <c:formatCode>#,##0</c:formatCode>
                <c:ptCount val="3"/>
                <c:pt idx="0">
                  <c:v>10520.622960446901</c:v>
                </c:pt>
                <c:pt idx="1">
                  <c:v>10507.198419823993</c:v>
                </c:pt>
                <c:pt idx="2">
                  <c:v>10492.651247364784</c:v>
                </c:pt>
              </c:numCache>
            </c:numRef>
          </c:val>
          <c:extLst>
            <c:ext xmlns:c16="http://schemas.microsoft.com/office/drawing/2014/chart" uri="{C3380CC4-5D6E-409C-BE32-E72D297353CC}">
              <c16:uniqueId val="{00000002-6811-4A4A-82EF-539925019CF2}"/>
            </c:ext>
          </c:extLst>
        </c:ser>
        <c:ser>
          <c:idx val="1"/>
          <c:order val="1"/>
          <c:tx>
            <c:strRef>
              <c:f>'M1 Härtekammern'!$L$73</c:f>
              <c:strCache>
                <c:ptCount val="1"/>
                <c:pt idx="0">
                  <c:v>Scope 2</c:v>
                </c:pt>
              </c:strCache>
            </c:strRef>
          </c:tx>
          <c:spPr>
            <a:solidFill>
              <a:schemeClr val="accent2"/>
            </a:solidFill>
            <a:ln>
              <a:noFill/>
            </a:ln>
            <a:effectLst/>
          </c:spPr>
          <c:invertIfNegative val="0"/>
          <c:cat>
            <c:multiLvlStrRef>
              <c:f>'M1 Härtekammern'!$M$70:$O$71</c:f>
              <c:multiLvlStrCache>
                <c:ptCount val="3"/>
                <c:lvl>
                  <c:pt idx="0">
                    <c:v>Referenz</c:v>
                  </c:pt>
                </c:lvl>
                <c:lvl>
                  <c:pt idx="0">
                    <c:v>2020</c:v>
                  </c:pt>
                  <c:pt idx="1">
                    <c:v>2025</c:v>
                  </c:pt>
                  <c:pt idx="2">
                    <c:v>2030</c:v>
                  </c:pt>
                </c:lvl>
              </c:multiLvlStrCache>
            </c:multiLvlStrRef>
          </c:cat>
          <c:val>
            <c:numRef>
              <c:f>'M1 Härtekammern'!$M$73:$O$73</c:f>
              <c:numCache>
                <c:formatCode>#,##0</c:formatCode>
                <c:ptCount val="3"/>
                <c:pt idx="0">
                  <c:v>286.5</c:v>
                </c:pt>
                <c:pt idx="1">
                  <c:v>195.66483377231765</c:v>
                </c:pt>
                <c:pt idx="2">
                  <c:v>96.432335925573213</c:v>
                </c:pt>
              </c:numCache>
            </c:numRef>
          </c:val>
          <c:extLst>
            <c:ext xmlns:c16="http://schemas.microsoft.com/office/drawing/2014/chart" uri="{C3380CC4-5D6E-409C-BE32-E72D297353CC}">
              <c16:uniqueId val="{00000001-6811-4A4A-82EF-539925019CF2}"/>
            </c:ext>
          </c:extLst>
        </c:ser>
        <c:ser>
          <c:idx val="0"/>
          <c:order val="2"/>
          <c:tx>
            <c:strRef>
              <c:f>'M1 Härtekammern'!$L$72</c:f>
              <c:strCache>
                <c:ptCount val="1"/>
                <c:pt idx="0">
                  <c:v>Scope 1 </c:v>
                </c:pt>
              </c:strCache>
            </c:strRef>
          </c:tx>
          <c:spPr>
            <a:solidFill>
              <a:schemeClr val="accent1"/>
            </a:solidFill>
            <a:ln>
              <a:noFill/>
            </a:ln>
            <a:effectLst/>
          </c:spPr>
          <c:invertIfNegative val="0"/>
          <c:cat>
            <c:multiLvlStrRef>
              <c:f>'M1 Härtekammern'!$M$70:$O$71</c:f>
              <c:multiLvlStrCache>
                <c:ptCount val="3"/>
                <c:lvl>
                  <c:pt idx="0">
                    <c:v>Referenz</c:v>
                  </c:pt>
                </c:lvl>
                <c:lvl>
                  <c:pt idx="0">
                    <c:v>2020</c:v>
                  </c:pt>
                  <c:pt idx="1">
                    <c:v>2025</c:v>
                  </c:pt>
                  <c:pt idx="2">
                    <c:v>2030</c:v>
                  </c:pt>
                </c:lvl>
              </c:multiLvlStrCache>
            </c:multiLvlStrRef>
          </c:cat>
          <c:val>
            <c:numRef>
              <c:f>'M1 Härtekammern'!$M$72:$O$72</c:f>
              <c:numCache>
                <c:formatCode>#,##0</c:formatCode>
                <c:ptCount val="3"/>
                <c:pt idx="0">
                  <c:v>106.60088015999999</c:v>
                </c:pt>
                <c:pt idx="1">
                  <c:v>105.94629215999998</c:v>
                </c:pt>
                <c:pt idx="2">
                  <c:v>105.94629215999998</c:v>
                </c:pt>
              </c:numCache>
            </c:numRef>
          </c:val>
          <c:extLst>
            <c:ext xmlns:c16="http://schemas.microsoft.com/office/drawing/2014/chart" uri="{C3380CC4-5D6E-409C-BE32-E72D297353CC}">
              <c16:uniqueId val="{00000000-6811-4A4A-82EF-539925019CF2}"/>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'M1 Härtekammern'!$T$111</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Härtekammern'!$U$111:$W$111</c:f>
              <c:numCache>
                <c:formatCode>#,##0\ "€"</c:formatCode>
                <c:ptCount val="3"/>
                <c:pt idx="0">
                  <c:v>172669</c:v>
                </c:pt>
                <c:pt idx="1">
                  <c:v>164736.70000000001</c:v>
                </c:pt>
                <c:pt idx="2">
                  <c:v>164736.70000000001</c:v>
                </c:pt>
              </c:numCache>
            </c:numRef>
          </c:val>
          <c:extLst>
            <c:ext xmlns:c16="http://schemas.microsoft.com/office/drawing/2014/chart" uri="{C3380CC4-5D6E-409C-BE32-E72D297353CC}">
              <c16:uniqueId val="{00000003-EB77-44D2-B179-659B6B61E0D5}"/>
            </c:ext>
          </c:extLst>
        </c:ser>
        <c:ser>
          <c:idx val="1"/>
          <c:order val="1"/>
          <c:tx>
            <c:strRef>
              <c:f>'M1 Härtekammern'!$T$119</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77-44D2-B179-659B6B61E0D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Härtekammern'!$U$119:$W$119</c:f>
              <c:numCache>
                <c:formatCode>#,##0\ "€"</c:formatCode>
                <c:ptCount val="3"/>
                <c:pt idx="0">
                  <c:v>0</c:v>
                </c:pt>
                <c:pt idx="1">
                  <c:v>72000</c:v>
                </c:pt>
                <c:pt idx="2">
                  <c:v>72000</c:v>
                </c:pt>
              </c:numCache>
            </c:numRef>
          </c:val>
          <c:extLst>
            <c:ext xmlns:c16="http://schemas.microsoft.com/office/drawing/2014/chart" uri="{C3380CC4-5D6E-409C-BE32-E72D297353CC}">
              <c16:uniqueId val="{00000007-EB77-44D2-B179-659B6B61E0D5}"/>
            </c:ext>
          </c:extLst>
        </c:ser>
        <c:ser>
          <c:idx val="2"/>
          <c:order val="2"/>
          <c:tx>
            <c:strRef>
              <c:f>'M1 Härtekammern'!$T$120</c:f>
              <c:strCache>
                <c:ptCount val="1"/>
                <c:pt idx="0">
                  <c:v>Zusätzliche jährliche Kosten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Härtekammern'!$U$120:$W$120</c:f>
              <c:numCache>
                <c:formatCode>#,##0\ "€"</c:formatCode>
                <c:ptCount val="3"/>
                <c:pt idx="0">
                  <c:v>0</c:v>
                </c:pt>
                <c:pt idx="1">
                  <c:v>0</c:v>
                </c:pt>
                <c:pt idx="2">
                  <c:v>0</c:v>
                </c:pt>
              </c:numCache>
            </c:numRef>
          </c:val>
          <c:extLst>
            <c:ext xmlns:c16="http://schemas.microsoft.com/office/drawing/2014/chart" uri="{C3380CC4-5D6E-409C-BE32-E72D297353CC}">
              <c16:uniqueId val="{00000008-EB77-44D2-B179-659B6B61E0D5}"/>
            </c:ext>
          </c:extLst>
        </c:ser>
        <c:ser>
          <c:idx val="3"/>
          <c:order val="3"/>
          <c:tx>
            <c:strRef>
              <c:f>'M1 Härtekammern'!$T$121</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Härtekammern'!$U$121:$W$121</c:f>
              <c:numCache>
                <c:formatCode>#,##0\ "€"</c:formatCode>
                <c:ptCount val="3"/>
                <c:pt idx="0">
                  <c:v>#N/A</c:v>
                </c:pt>
                <c:pt idx="1">
                  <c:v>#N/A</c:v>
                </c:pt>
                <c:pt idx="2">
                  <c:v>#N/A</c:v>
                </c:pt>
              </c:numCache>
            </c:numRef>
          </c:val>
          <c:extLst>
            <c:ext xmlns:c16="http://schemas.microsoft.com/office/drawing/2014/chart" uri="{C3380CC4-5D6E-409C-BE32-E72D297353CC}">
              <c16:uniqueId val="{00000009-EB77-44D2-B179-659B6B61E0D5}"/>
            </c:ext>
          </c:extLst>
        </c:ser>
        <c:ser>
          <c:idx val="4"/>
          <c:order val="4"/>
          <c:tx>
            <c:strRef>
              <c:f>'M1 Härtekammern'!$T$122</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'M1 Härtekammern'!$U$122:$W$122</c:f>
              <c:numCache>
                <c:formatCode>#,##0\ "€"</c:formatCode>
                <c:ptCount val="3"/>
                <c:pt idx="0">
                  <c:v>272843.09601517254</c:v>
                </c:pt>
                <c:pt idx="1">
                  <c:v>486396.42955903395</c:v>
                </c:pt>
                <c:pt idx="2">
                  <c:v>855602.39003602846</c:v>
                </c:pt>
              </c:numCache>
            </c:numRef>
          </c:val>
          <c:extLst>
            <c:ext xmlns:c16="http://schemas.microsoft.com/office/drawing/2014/chart" uri="{C3380CC4-5D6E-409C-BE32-E72D297353CC}">
              <c16:uniqueId val="{0000000D-EB77-44D2-B179-659B6B61E0D5}"/>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'M1 Härtekammern'!$L$111</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D5-4BD2-B2D8-1FA68F324ABB}"/>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D5-4BD2-B2D8-1FA68F324ABB}"/>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D5-4BD2-B2D8-1FA68F324AB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Härtekammern'!$M$111:$O$111</c:f>
              <c:numCache>
                <c:formatCode>#,##0</c:formatCode>
                <c:ptCount val="3"/>
                <c:pt idx="0">
                  <c:v>60.712972560000004</c:v>
                </c:pt>
                <c:pt idx="1">
                  <c:v>47.288431937093691</c:v>
                </c:pt>
                <c:pt idx="2">
                  <c:v>32.74125947788508</c:v>
                </c:pt>
              </c:numCache>
            </c:numRef>
          </c:val>
          <c:extLst>
            <c:ext xmlns:c16="http://schemas.microsoft.com/office/drawing/2014/chart" uri="{C3380CC4-5D6E-409C-BE32-E72D297353CC}">
              <c16:uniqueId val="{00000003-E2D5-4BD2-B2D8-1FA68F324ABB}"/>
            </c:ext>
          </c:extLst>
        </c:ser>
        <c:ser>
          <c:idx val="1"/>
          <c:order val="1"/>
          <c:tx>
            <c:strRef>
              <c:f>'M1 Härtekammern'!$L$112</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D5-4BD2-B2D8-1FA68F324ABB}"/>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D5-4BD2-B2D8-1FA68F324ABB}"/>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D5-4BD2-B2D8-1FA68F324AB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Härtekammern'!$M$112:$O$112</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E2D5-4BD2-B2D8-1FA68F324ABB}"/>
            </c:ext>
          </c:extLst>
        </c:ser>
        <c:ser>
          <c:idx val="2"/>
          <c:order val="2"/>
          <c:tx>
            <c:strRef>
              <c:f>'M1 Härtekammern'!$L$113</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Härtekammern'!$M$113:$O$113</c:f>
              <c:numCache>
                <c:formatCode>#,##0</c:formatCode>
                <c:ptCount val="3"/>
                <c:pt idx="0">
                  <c:v>7683.24</c:v>
                </c:pt>
                <c:pt idx="1">
                  <c:v>7683.24</c:v>
                </c:pt>
                <c:pt idx="2">
                  <c:v>7683.24</c:v>
                </c:pt>
              </c:numCache>
            </c:numRef>
          </c:val>
          <c:extLst>
            <c:ext xmlns:c16="http://schemas.microsoft.com/office/drawing/2014/chart" uri="{C3380CC4-5D6E-409C-BE32-E72D297353CC}">
              <c16:uniqueId val="{00000008-E2D5-4BD2-B2D8-1FA68F324ABB}"/>
            </c:ext>
          </c:extLst>
        </c:ser>
        <c:ser>
          <c:idx val="3"/>
          <c:order val="3"/>
          <c:tx>
            <c:strRef>
              <c:f>'M1 Härtekammern'!$L$114</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2D5-4BD2-B2D8-1FA68F324ABB}"/>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2D5-4BD2-B2D8-1FA68F324ABB}"/>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2D5-4BD2-B2D8-1FA68F324AB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Härtekammern'!$M$114:$O$114</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9-E2D5-4BD2-B2D8-1FA68F324ABB}"/>
            </c:ext>
          </c:extLst>
        </c:ser>
        <c:ser>
          <c:idx val="4"/>
          <c:order val="4"/>
          <c:tx>
            <c:strRef>
              <c:f>'M1 Härtekammern'!$L$115</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Härtekammern'!$M$115:$O$115</c:f>
              <c:numCache>
                <c:formatCode>#,##0</c:formatCode>
                <c:ptCount val="3"/>
                <c:pt idx="0">
                  <c:v>1040</c:v>
                </c:pt>
                <c:pt idx="1">
                  <c:v>1040</c:v>
                </c:pt>
                <c:pt idx="2">
                  <c:v>1040</c:v>
                </c:pt>
              </c:numCache>
            </c:numRef>
          </c:val>
          <c:extLst>
            <c:ext xmlns:c16="http://schemas.microsoft.com/office/drawing/2014/chart" uri="{C3380CC4-5D6E-409C-BE32-E72D297353CC}">
              <c16:uniqueId val="{0000000A-E2D5-4BD2-B2D8-1FA68F324ABB}"/>
            </c:ext>
          </c:extLst>
        </c:ser>
        <c:ser>
          <c:idx val="5"/>
          <c:order val="5"/>
          <c:tx>
            <c:strRef>
              <c:f>'M1 Härtekammern'!$L$116</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Härtekammern'!$M$116:$O$116</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B-E2D5-4BD2-B2D8-1FA68F324ABB}"/>
            </c:ext>
          </c:extLst>
        </c:ser>
        <c:ser>
          <c:idx val="6"/>
          <c:order val="6"/>
          <c:tx>
            <c:strRef>
              <c:f>'M1 Härtekammern'!$L$117</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2D5-4BD2-B2D8-1FA68F324ABB}"/>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2D5-4BD2-B2D8-1FA68F324ABB}"/>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2D5-4BD2-B2D8-1FA68F324AB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Härtekammern'!$M$117:$O$117</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0C-E2D5-4BD2-B2D8-1FA68F324ABB}"/>
            </c:ext>
          </c:extLst>
        </c:ser>
        <c:ser>
          <c:idx val="7"/>
          <c:order val="7"/>
          <c:tx>
            <c:strRef>
              <c:f>'M1 Härtekammern'!$L$118</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Härtekammern'!$M$118:$O$118</c:f>
              <c:numCache>
                <c:formatCode>#,##0</c:formatCode>
                <c:ptCount val="3"/>
                <c:pt idx="0">
                  <c:v>#N/A</c:v>
                </c:pt>
                <c:pt idx="1">
                  <c:v>#N/A</c:v>
                </c:pt>
                <c:pt idx="2">
                  <c:v>#N/A</c:v>
                </c:pt>
              </c:numCache>
            </c:numRef>
          </c:val>
          <c:extLst>
            <c:ext xmlns:c16="http://schemas.microsoft.com/office/drawing/2014/chart" uri="{C3380CC4-5D6E-409C-BE32-E72D297353CC}">
              <c16:uniqueId val="{0000000D-E2D5-4BD2-B2D8-1FA68F324ABB}"/>
            </c:ext>
          </c:extLst>
        </c:ser>
        <c:ser>
          <c:idx val="8"/>
          <c:order val="8"/>
          <c:tx>
            <c:strRef>
              <c:f>'M1 Härtekammern'!$L$119</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Härtekammern'!$M$119:$O$119</c:f>
              <c:numCache>
                <c:formatCode>#,##0</c:formatCode>
                <c:ptCount val="3"/>
                <c:pt idx="0">
                  <c:v>#N/A</c:v>
                </c:pt>
                <c:pt idx="1">
                  <c:v>#N/A</c:v>
                </c:pt>
                <c:pt idx="2">
                  <c:v>#N/A</c:v>
                </c:pt>
              </c:numCache>
            </c:numRef>
          </c:val>
          <c:extLst>
            <c:ext xmlns:c16="http://schemas.microsoft.com/office/drawing/2014/chart" uri="{C3380CC4-5D6E-409C-BE32-E72D297353CC}">
              <c16:uniqueId val="{0000000E-E2D5-4BD2-B2D8-1FA68F324ABB}"/>
            </c:ext>
          </c:extLst>
        </c:ser>
        <c:ser>
          <c:idx val="9"/>
          <c:order val="9"/>
          <c:tx>
            <c:strRef>
              <c:f>'M1 Härtekammern'!$L$120</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Härtekammern'!$M$120:$O$120</c:f>
              <c:numCache>
                <c:formatCode>#,##0</c:formatCode>
                <c:ptCount val="3"/>
                <c:pt idx="0">
                  <c:v>#N/A</c:v>
                </c:pt>
                <c:pt idx="1">
                  <c:v>#N/A</c:v>
                </c:pt>
                <c:pt idx="2">
                  <c:v>#N/A</c:v>
                </c:pt>
              </c:numCache>
            </c:numRef>
          </c:val>
          <c:extLst>
            <c:ext xmlns:c16="http://schemas.microsoft.com/office/drawing/2014/chart" uri="{C3380CC4-5D6E-409C-BE32-E72D297353CC}">
              <c16:uniqueId val="{0000000F-E2D5-4BD2-B2D8-1FA68F324ABB}"/>
            </c:ext>
          </c:extLst>
        </c:ser>
        <c:ser>
          <c:idx val="10"/>
          <c:order val="10"/>
          <c:tx>
            <c:strRef>
              <c:f>'M1 Härtekammern'!$L$121</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2D5-4BD2-B2D8-1FA68F324ABB}"/>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2D5-4BD2-B2D8-1FA68F324ABB}"/>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2D5-4BD2-B2D8-1FA68F324AB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Härtekammern'!$M$121:$O$121</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0-E2D5-4BD2-B2D8-1FA68F324ABB}"/>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'M2 Fuhrpark'!$D$120</c:f>
              <c:strCache>
                <c:ptCount val="1"/>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FB-41FF-B247-5DD286BDEB03}"/>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FB-41FF-B247-5DD286BDEB03}"/>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FB-41FF-B247-5DD286BDEB0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Fuhrpark'!$E$120:$G$120</c:f>
              <c:numCache>
                <c:formatCode>#,##0.0</c:formatCode>
                <c:ptCount val="3"/>
                <c:pt idx="0">
                  <c:v>#N/A</c:v>
                </c:pt>
                <c:pt idx="1">
                  <c:v>#N/A</c:v>
                </c:pt>
                <c:pt idx="2">
                  <c:v>#N/A</c:v>
                </c:pt>
              </c:numCache>
            </c:numRef>
          </c:val>
          <c:extLst>
            <c:ext xmlns:c16="http://schemas.microsoft.com/office/drawing/2014/chart" uri="{C3380CC4-5D6E-409C-BE32-E72D297353CC}">
              <c16:uniqueId val="{00000003-8FFB-41FF-B247-5DD286BDEB03}"/>
            </c:ext>
          </c:extLst>
        </c:ser>
        <c:ser>
          <c:idx val="1"/>
          <c:order val="1"/>
          <c:tx>
            <c:strRef>
              <c:f>'M2 Fuhrpark'!$D$121</c:f>
              <c:strCache>
                <c:ptCount val="1"/>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FB-41FF-B247-5DD286BDEB03}"/>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FB-41FF-B247-5DD286BDEB03}"/>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FB-41FF-B247-5DD286BDEB0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Fuhrpark'!$E$121:$G$121</c:f>
              <c:numCache>
                <c:formatCode>#,##0.0</c:formatCode>
                <c:ptCount val="3"/>
                <c:pt idx="0">
                  <c:v>#N/A</c:v>
                </c:pt>
                <c:pt idx="1">
                  <c:v>#N/A</c:v>
                </c:pt>
                <c:pt idx="2">
                  <c:v>#N/A</c:v>
                </c:pt>
              </c:numCache>
            </c:numRef>
          </c:val>
          <c:extLst>
            <c:ext xmlns:c16="http://schemas.microsoft.com/office/drawing/2014/chart" uri="{C3380CC4-5D6E-409C-BE32-E72D297353CC}">
              <c16:uniqueId val="{00000007-8FFB-41FF-B247-5DD286BDEB03}"/>
            </c:ext>
          </c:extLst>
        </c:ser>
        <c:ser>
          <c:idx val="2"/>
          <c:order val="2"/>
          <c:tx>
            <c:strRef>
              <c:f>'M2 Fuhrpark'!$D$122</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Fuhrpark'!$E$122:$G$122</c:f>
              <c:numCache>
                <c:formatCode>#,##0.0</c:formatCode>
                <c:ptCount val="3"/>
                <c:pt idx="0">
                  <c:v>286.5</c:v>
                </c:pt>
                <c:pt idx="1">
                  <c:v>241.61230249163646</c:v>
                </c:pt>
                <c:pt idx="2">
                  <c:v>135.5669943518796</c:v>
                </c:pt>
              </c:numCache>
            </c:numRef>
          </c:val>
          <c:extLst>
            <c:ext xmlns:c16="http://schemas.microsoft.com/office/drawing/2014/chart" uri="{C3380CC4-5D6E-409C-BE32-E72D297353CC}">
              <c16:uniqueId val="{00000008-8FFB-41FF-B247-5DD286BDEB03}"/>
            </c:ext>
          </c:extLst>
        </c:ser>
        <c:ser>
          <c:idx val="3"/>
          <c:order val="3"/>
          <c:tx>
            <c:strRef>
              <c:f>'M2 Fuhrpark'!$D$126</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Fuhrpark'!$E$126:$G$126</c:f>
              <c:numCache>
                <c:formatCode>#,##0.0</c:formatCode>
                <c:ptCount val="3"/>
                <c:pt idx="0">
                  <c:v>95.691080159999984</c:v>
                </c:pt>
                <c:pt idx="1">
                  <c:v>53.161711199999992</c:v>
                </c:pt>
                <c:pt idx="2">
                  <c:v>10.632342239999998</c:v>
                </c:pt>
              </c:numCache>
            </c:numRef>
          </c:val>
          <c:extLst>
            <c:ext xmlns:c16="http://schemas.microsoft.com/office/drawing/2014/chart" uri="{C3380CC4-5D6E-409C-BE32-E72D297353CC}">
              <c16:uniqueId val="{00000009-8FFB-41FF-B247-5DD286BDEB03}"/>
            </c:ext>
          </c:extLst>
        </c:ser>
        <c:ser>
          <c:idx val="4"/>
          <c:order val="4"/>
          <c:tx>
            <c:strRef>
              <c:f>'M2 Fuhrpark'!$D$123</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'M2 Fuhrpark'!$E$123:$G$123</c:f>
              <c:numCache>
                <c:formatCode>#,##0.0</c:formatCode>
                <c:ptCount val="3"/>
                <c:pt idx="0">
                  <c:v>#N/A</c:v>
                </c:pt>
                <c:pt idx="1">
                  <c:v>#N/A</c:v>
                </c:pt>
                <c:pt idx="2">
                  <c:v>#N/A</c:v>
                </c:pt>
              </c:numCache>
            </c:numRef>
          </c:val>
          <c:extLst>
            <c:ext xmlns:c16="http://schemas.microsoft.com/office/drawing/2014/chart" uri="{C3380CC4-5D6E-409C-BE32-E72D297353CC}">
              <c16:uniqueId val="{0000000A-8FFB-41FF-B247-5DD286BDEB03}"/>
            </c:ext>
          </c:extLst>
        </c:ser>
        <c:ser>
          <c:idx val="5"/>
          <c:order val="5"/>
          <c:tx>
            <c:strRef>
              <c:f>'M2 Fuhrpark'!$D$124</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'M2 Fuhrpark'!$E$124:$G$124</c:f>
              <c:numCache>
                <c:formatCode>#,##0.0</c:formatCode>
                <c:ptCount val="3"/>
                <c:pt idx="0">
                  <c:v>#N/A</c:v>
                </c:pt>
                <c:pt idx="1">
                  <c:v>#N/A</c:v>
                </c:pt>
                <c:pt idx="2">
                  <c:v>#N/A</c:v>
                </c:pt>
              </c:numCache>
            </c:numRef>
          </c:val>
          <c:extLst>
            <c:ext xmlns:c16="http://schemas.microsoft.com/office/drawing/2014/chart" uri="{C3380CC4-5D6E-409C-BE32-E72D297353CC}">
              <c16:uniqueId val="{0000000B-8FFB-41FF-B247-5DD286BDEB03}"/>
            </c:ext>
          </c:extLst>
        </c:ser>
        <c:ser>
          <c:idx val="6"/>
          <c:order val="6"/>
          <c:tx>
            <c:strRef>
              <c:f>'M2 Fuhrpark'!$D$125</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'M2 Fuhrpark'!$E$125:$G$125</c:f>
              <c:numCache>
                <c:formatCode>#,##0.0</c:formatCode>
                <c:ptCount val="3"/>
                <c:pt idx="0">
                  <c:v>#N/A</c:v>
                </c:pt>
                <c:pt idx="1">
                  <c:v>#N/A</c:v>
                </c:pt>
                <c:pt idx="2">
                  <c:v>#N/A</c:v>
                </c:pt>
              </c:numCache>
            </c:numRef>
          </c:val>
          <c:extLst>
            <c:ext xmlns:c16="http://schemas.microsoft.com/office/drawing/2014/chart" uri="{C3380CC4-5D6E-409C-BE32-E72D297353CC}">
              <c16:uniqueId val="{0000000C-8FFB-41FF-B247-5DD286BDEB03}"/>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'M2 Fuhrpark'!$L$83</c:f>
              <c:strCache>
                <c:ptCount val="1"/>
                <c:pt idx="0">
                  <c:v>Scope 3</c:v>
                </c:pt>
              </c:strCache>
            </c:strRef>
          </c:tx>
          <c:spPr>
            <a:solidFill>
              <a:schemeClr val="accent3"/>
            </a:solidFill>
            <a:ln>
              <a:noFill/>
            </a:ln>
            <a:effectLst/>
          </c:spPr>
          <c:invertIfNegative val="0"/>
          <c:cat>
            <c:multiLvlStrRef>
              <c:f>'M2 Fuhrpark'!$M$79:$O$80</c:f>
              <c:multiLvlStrCache>
                <c:ptCount val="3"/>
                <c:lvl>
                  <c:pt idx="0">
                    <c:v>Referenz</c:v>
                  </c:pt>
                </c:lvl>
                <c:lvl>
                  <c:pt idx="0">
                    <c:v>2020</c:v>
                  </c:pt>
                  <c:pt idx="1">
                    <c:v>2025</c:v>
                  </c:pt>
                  <c:pt idx="2">
                    <c:v>2030</c:v>
                  </c:pt>
                </c:lvl>
              </c:multiLvlStrCache>
            </c:multiLvlStrRef>
          </c:cat>
          <c:val>
            <c:numRef>
              <c:f>'M2 Fuhrpark'!$M$83:$O$83</c:f>
              <c:numCache>
                <c:formatCode>#,##0</c:formatCode>
                <c:ptCount val="3"/>
                <c:pt idx="0">
                  <c:v>10520.622960446901</c:v>
                </c:pt>
                <c:pt idx="1">
                  <c:v>10506.528581640649</c:v>
                </c:pt>
                <c:pt idx="2">
                  <c:v>10483.46868923398</c:v>
                </c:pt>
              </c:numCache>
            </c:numRef>
          </c:val>
          <c:extLst>
            <c:ext xmlns:c16="http://schemas.microsoft.com/office/drawing/2014/chart" uri="{C3380CC4-5D6E-409C-BE32-E72D297353CC}">
              <c16:uniqueId val="{00000000-A839-453C-ABDF-F87D7503101F}"/>
            </c:ext>
          </c:extLst>
        </c:ser>
        <c:ser>
          <c:idx val="1"/>
          <c:order val="1"/>
          <c:tx>
            <c:strRef>
              <c:f>'M2 Fuhrpark'!$L$82</c:f>
              <c:strCache>
                <c:ptCount val="1"/>
                <c:pt idx="0">
                  <c:v>Scope 2</c:v>
                </c:pt>
              </c:strCache>
            </c:strRef>
          </c:tx>
          <c:spPr>
            <a:solidFill>
              <a:schemeClr val="accent2"/>
            </a:solidFill>
            <a:ln>
              <a:noFill/>
            </a:ln>
            <a:effectLst/>
          </c:spPr>
          <c:invertIfNegative val="0"/>
          <c:cat>
            <c:multiLvlStrRef>
              <c:f>'M2 Fuhrpark'!$M$79:$O$80</c:f>
              <c:multiLvlStrCache>
                <c:ptCount val="3"/>
                <c:lvl>
                  <c:pt idx="0">
                    <c:v>Referenz</c:v>
                  </c:pt>
                </c:lvl>
                <c:lvl>
                  <c:pt idx="0">
                    <c:v>2020</c:v>
                  </c:pt>
                  <c:pt idx="1">
                    <c:v>2025</c:v>
                  </c:pt>
                  <c:pt idx="2">
                    <c:v>2030</c:v>
                  </c:pt>
                </c:lvl>
              </c:multiLvlStrCache>
            </c:multiLvlStrRef>
          </c:cat>
          <c:val>
            <c:numRef>
              <c:f>'M2 Fuhrpark'!$M$82:$O$82</c:f>
              <c:numCache>
                <c:formatCode>#,##0</c:formatCode>
                <c:ptCount val="3"/>
                <c:pt idx="0">
                  <c:v>286.5</c:v>
                </c:pt>
                <c:pt idx="1">
                  <c:v>241.61230249163646</c:v>
                </c:pt>
                <c:pt idx="2">
                  <c:v>135.5669943518796</c:v>
                </c:pt>
              </c:numCache>
            </c:numRef>
          </c:val>
          <c:extLst>
            <c:ext xmlns:c16="http://schemas.microsoft.com/office/drawing/2014/chart" uri="{C3380CC4-5D6E-409C-BE32-E72D297353CC}">
              <c16:uniqueId val="{00000001-A839-453C-ABDF-F87D7503101F}"/>
            </c:ext>
          </c:extLst>
        </c:ser>
        <c:ser>
          <c:idx val="0"/>
          <c:order val="2"/>
          <c:tx>
            <c:strRef>
              <c:f>'M2 Fuhrpark'!$L$81</c:f>
              <c:strCache>
                <c:ptCount val="1"/>
                <c:pt idx="0">
                  <c:v>Scope 1 </c:v>
                </c:pt>
              </c:strCache>
            </c:strRef>
          </c:tx>
          <c:spPr>
            <a:solidFill>
              <a:schemeClr val="accent1"/>
            </a:solidFill>
            <a:ln>
              <a:noFill/>
            </a:ln>
            <a:effectLst/>
          </c:spPr>
          <c:invertIfNegative val="0"/>
          <c:cat>
            <c:multiLvlStrRef>
              <c:f>'M2 Fuhrpark'!$M$79:$O$80</c:f>
              <c:multiLvlStrCache>
                <c:ptCount val="3"/>
                <c:lvl>
                  <c:pt idx="0">
                    <c:v>Referenz</c:v>
                  </c:pt>
                </c:lvl>
                <c:lvl>
                  <c:pt idx="0">
                    <c:v>2020</c:v>
                  </c:pt>
                  <c:pt idx="1">
                    <c:v>2025</c:v>
                  </c:pt>
                  <c:pt idx="2">
                    <c:v>2030</c:v>
                  </c:pt>
                </c:lvl>
              </c:multiLvlStrCache>
            </c:multiLvlStrRef>
          </c:cat>
          <c:val>
            <c:numRef>
              <c:f>'M2 Fuhrpark'!$M$81:$O$81</c:f>
              <c:numCache>
                <c:formatCode>#,##0</c:formatCode>
                <c:ptCount val="3"/>
                <c:pt idx="0">
                  <c:v>106.60088015999999</c:v>
                </c:pt>
                <c:pt idx="1">
                  <c:v>64.071511199999989</c:v>
                </c:pt>
                <c:pt idx="2">
                  <c:v>21.542142239999997</c:v>
                </c:pt>
              </c:numCache>
            </c:numRef>
          </c:val>
          <c:extLst>
            <c:ext xmlns:c16="http://schemas.microsoft.com/office/drawing/2014/chart" uri="{C3380CC4-5D6E-409C-BE32-E72D297353CC}">
              <c16:uniqueId val="{00000002-A839-453C-ABDF-F87D7503101F}"/>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'M2 Fuhrpark'!$T$120</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Fuhrpark'!$U$120:$W$120</c:f>
              <c:numCache>
                <c:formatCode>#,##0\ "€"</c:formatCode>
                <c:ptCount val="3"/>
                <c:pt idx="0">
                  <c:v>172669</c:v>
                </c:pt>
                <c:pt idx="1">
                  <c:v>175420.17333333334</c:v>
                </c:pt>
                <c:pt idx="2">
                  <c:v>178171.34666666668</c:v>
                </c:pt>
              </c:numCache>
            </c:numRef>
          </c:val>
          <c:extLst>
            <c:ext xmlns:c16="http://schemas.microsoft.com/office/drawing/2014/chart" uri="{C3380CC4-5D6E-409C-BE32-E72D297353CC}">
              <c16:uniqueId val="{00000000-0B75-4B9F-8149-D2BC682C5C48}"/>
            </c:ext>
          </c:extLst>
        </c:ser>
        <c:ser>
          <c:idx val="1"/>
          <c:order val="1"/>
          <c:tx>
            <c:strRef>
              <c:f>'M2 Fuhrpark'!$T$128</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75-4B9F-8149-D2BC682C5C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Fuhrpark'!$U$128:$W$128</c:f>
              <c:numCache>
                <c:formatCode>#,##0\ "€"</c:formatCode>
                <c:ptCount val="3"/>
                <c:pt idx="0">
                  <c:v>0</c:v>
                </c:pt>
                <c:pt idx="1">
                  <c:v>135000</c:v>
                </c:pt>
                <c:pt idx="2">
                  <c:v>270000</c:v>
                </c:pt>
              </c:numCache>
            </c:numRef>
          </c:val>
          <c:extLst>
            <c:ext xmlns:c16="http://schemas.microsoft.com/office/drawing/2014/chart" uri="{C3380CC4-5D6E-409C-BE32-E72D297353CC}">
              <c16:uniqueId val="{00000002-0B75-4B9F-8149-D2BC682C5C48}"/>
            </c:ext>
          </c:extLst>
        </c:ser>
        <c:ser>
          <c:idx val="2"/>
          <c:order val="2"/>
          <c:tx>
            <c:strRef>
              <c:f>'M2 Fuhrpark'!$T$129</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Fuhrpark'!$U$129:$W$129</c:f>
              <c:numCache>
                <c:formatCode>#,##0\ "€"</c:formatCode>
                <c:ptCount val="3"/>
                <c:pt idx="0">
                  <c:v>#N/A</c:v>
                </c:pt>
                <c:pt idx="1">
                  <c:v>#N/A</c:v>
                </c:pt>
                <c:pt idx="2">
                  <c:v>#N/A</c:v>
                </c:pt>
              </c:numCache>
            </c:numRef>
          </c:val>
          <c:extLst>
            <c:ext xmlns:c16="http://schemas.microsoft.com/office/drawing/2014/chart" uri="{C3380CC4-5D6E-409C-BE32-E72D297353CC}">
              <c16:uniqueId val="{00000003-0B75-4B9F-8149-D2BC682C5C48}"/>
            </c:ext>
          </c:extLst>
        </c:ser>
        <c:ser>
          <c:idx val="3"/>
          <c:order val="3"/>
          <c:tx>
            <c:strRef>
              <c:f>'M2 Fuhrpark'!$T$130</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Fuhrpark'!$U$130:$W$130</c:f>
              <c:numCache>
                <c:formatCode>#,##0\ "€"</c:formatCode>
                <c:ptCount val="3"/>
                <c:pt idx="0">
                  <c:v>#N/A</c:v>
                </c:pt>
                <c:pt idx="1">
                  <c:v>#N/A</c:v>
                </c:pt>
                <c:pt idx="2">
                  <c:v>#N/A</c:v>
                </c:pt>
              </c:numCache>
            </c:numRef>
          </c:val>
          <c:extLst>
            <c:ext xmlns:c16="http://schemas.microsoft.com/office/drawing/2014/chart" uri="{C3380CC4-5D6E-409C-BE32-E72D297353CC}">
              <c16:uniqueId val="{00000004-0B75-4B9F-8149-D2BC682C5C48}"/>
            </c:ext>
          </c:extLst>
        </c:ser>
        <c:ser>
          <c:idx val="4"/>
          <c:order val="4"/>
          <c:tx>
            <c:strRef>
              <c:f>'M2 Fuhrpark'!$T$131</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'M2 Fuhrpark'!$U$131:$W$131</c:f>
              <c:numCache>
                <c:formatCode>#,##0\ "€"</c:formatCode>
                <c:ptCount val="3"/>
                <c:pt idx="0">
                  <c:v>272843.09601517254</c:v>
                </c:pt>
                <c:pt idx="1">
                  <c:v>486549.55778995279</c:v>
                </c:pt>
                <c:pt idx="2">
                  <c:v>851246.22606606875</c:v>
                </c:pt>
              </c:numCache>
            </c:numRef>
          </c:val>
          <c:extLst>
            <c:ext xmlns:c16="http://schemas.microsoft.com/office/drawing/2014/chart" uri="{C3380CC4-5D6E-409C-BE32-E72D297353CC}">
              <c16:uniqueId val="{00000005-0B75-4B9F-8149-D2BC682C5C4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'M2 Fuhrpark'!$L$120</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B-4BA9-8EBB-AC0721113F78}"/>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B-4BA9-8EBB-AC0721113F78}"/>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B-4BA9-8EBB-AC0721113F7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Fuhrpark'!$M$120:$O$120</c:f>
              <c:numCache>
                <c:formatCode>#,##0</c:formatCode>
                <c:ptCount val="3"/>
                <c:pt idx="0">
                  <c:v>60.712972560000004</c:v>
                </c:pt>
                <c:pt idx="1">
                  <c:v>46.61859375374776</c:v>
                </c:pt>
                <c:pt idx="2">
                  <c:v>23.558701347081822</c:v>
                </c:pt>
              </c:numCache>
            </c:numRef>
          </c:val>
          <c:extLst>
            <c:ext xmlns:c16="http://schemas.microsoft.com/office/drawing/2014/chart" uri="{C3380CC4-5D6E-409C-BE32-E72D297353CC}">
              <c16:uniqueId val="{00000003-3B1B-4BA9-8EBB-AC0721113F78}"/>
            </c:ext>
          </c:extLst>
        </c:ser>
        <c:ser>
          <c:idx val="1"/>
          <c:order val="1"/>
          <c:tx>
            <c:strRef>
              <c:f>'M2 Fuhrpark'!$L$121</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B-4BA9-8EBB-AC0721113F78}"/>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1B-4BA9-8EBB-AC0721113F78}"/>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1B-4BA9-8EBB-AC0721113F7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Fuhrpark'!$M$121:$O$121</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3B1B-4BA9-8EBB-AC0721113F78}"/>
            </c:ext>
          </c:extLst>
        </c:ser>
        <c:ser>
          <c:idx val="2"/>
          <c:order val="2"/>
          <c:tx>
            <c:strRef>
              <c:f>'M2 Fuhrpark'!$L$122</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Fuhrpark'!$M$122:$O$122</c:f>
              <c:numCache>
                <c:formatCode>#,##0</c:formatCode>
                <c:ptCount val="3"/>
                <c:pt idx="0">
                  <c:v>7683.24</c:v>
                </c:pt>
                <c:pt idx="1">
                  <c:v>7683.24</c:v>
                </c:pt>
                <c:pt idx="2">
                  <c:v>7683.24</c:v>
                </c:pt>
              </c:numCache>
            </c:numRef>
          </c:val>
          <c:extLst>
            <c:ext xmlns:c16="http://schemas.microsoft.com/office/drawing/2014/chart" uri="{C3380CC4-5D6E-409C-BE32-E72D297353CC}">
              <c16:uniqueId val="{00000008-3B1B-4BA9-8EBB-AC0721113F78}"/>
            </c:ext>
          </c:extLst>
        </c:ser>
        <c:ser>
          <c:idx val="3"/>
          <c:order val="3"/>
          <c:tx>
            <c:strRef>
              <c:f>'M2 Fuhrpark'!$L$123</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1B-4BA9-8EBB-AC0721113F78}"/>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1B-4BA9-8EBB-AC0721113F78}"/>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1B-4BA9-8EBB-AC0721113F7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Fuhrpark'!$M$123:$O$123</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3B1B-4BA9-8EBB-AC0721113F78}"/>
            </c:ext>
          </c:extLst>
        </c:ser>
        <c:ser>
          <c:idx val="4"/>
          <c:order val="4"/>
          <c:tx>
            <c:strRef>
              <c:f>'M2 Fuhrpark'!$L$124</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Fuhrpark'!$M$124:$O$124</c:f>
              <c:numCache>
                <c:formatCode>#,##0</c:formatCode>
                <c:ptCount val="3"/>
                <c:pt idx="0">
                  <c:v>1040</c:v>
                </c:pt>
                <c:pt idx="1">
                  <c:v>1040</c:v>
                </c:pt>
                <c:pt idx="2">
                  <c:v>1040</c:v>
                </c:pt>
              </c:numCache>
            </c:numRef>
          </c:val>
          <c:extLst>
            <c:ext xmlns:c16="http://schemas.microsoft.com/office/drawing/2014/chart" uri="{C3380CC4-5D6E-409C-BE32-E72D297353CC}">
              <c16:uniqueId val="{0000000D-3B1B-4BA9-8EBB-AC0721113F78}"/>
            </c:ext>
          </c:extLst>
        </c:ser>
        <c:ser>
          <c:idx val="5"/>
          <c:order val="5"/>
          <c:tx>
            <c:strRef>
              <c:f>'M2 Fuhrpark'!$L$125</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Fuhrpark'!$M$125:$O$125</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3B1B-4BA9-8EBB-AC0721113F78}"/>
            </c:ext>
          </c:extLst>
        </c:ser>
        <c:ser>
          <c:idx val="6"/>
          <c:order val="6"/>
          <c:tx>
            <c:strRef>
              <c:f>'M2 Fuhrpark'!$L$126</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1B-4BA9-8EBB-AC0721113F78}"/>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1B-4BA9-8EBB-AC0721113F78}"/>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1B-4BA9-8EBB-AC0721113F7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Fuhrpark'!$M$126:$O$126</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3B1B-4BA9-8EBB-AC0721113F78}"/>
            </c:ext>
          </c:extLst>
        </c:ser>
        <c:ser>
          <c:idx val="7"/>
          <c:order val="7"/>
          <c:tx>
            <c:strRef>
              <c:f>'M2 Fuhrpark'!$L$127</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Fuhrpark'!$M$127:$O$127</c:f>
              <c:numCache>
                <c:formatCode>#,##0</c:formatCode>
                <c:ptCount val="3"/>
                <c:pt idx="0">
                  <c:v>#N/A</c:v>
                </c:pt>
                <c:pt idx="1">
                  <c:v>#N/A</c:v>
                </c:pt>
                <c:pt idx="2">
                  <c:v>#N/A</c:v>
                </c:pt>
              </c:numCache>
            </c:numRef>
          </c:val>
          <c:extLst>
            <c:ext xmlns:c16="http://schemas.microsoft.com/office/drawing/2014/chart" uri="{C3380CC4-5D6E-409C-BE32-E72D297353CC}">
              <c16:uniqueId val="{00000013-3B1B-4BA9-8EBB-AC0721113F78}"/>
            </c:ext>
          </c:extLst>
        </c:ser>
        <c:ser>
          <c:idx val="8"/>
          <c:order val="8"/>
          <c:tx>
            <c:strRef>
              <c:f>'M2 Fuhrpark'!$L$128</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Fuhrpark'!$M$128:$O$128</c:f>
              <c:numCache>
                <c:formatCode>#,##0</c:formatCode>
                <c:ptCount val="3"/>
                <c:pt idx="0">
                  <c:v>#N/A</c:v>
                </c:pt>
                <c:pt idx="1">
                  <c:v>#N/A</c:v>
                </c:pt>
                <c:pt idx="2">
                  <c:v>#N/A</c:v>
                </c:pt>
              </c:numCache>
            </c:numRef>
          </c:val>
          <c:extLst>
            <c:ext xmlns:c16="http://schemas.microsoft.com/office/drawing/2014/chart" uri="{C3380CC4-5D6E-409C-BE32-E72D297353CC}">
              <c16:uniqueId val="{00000014-3B1B-4BA9-8EBB-AC0721113F78}"/>
            </c:ext>
          </c:extLst>
        </c:ser>
        <c:ser>
          <c:idx val="9"/>
          <c:order val="9"/>
          <c:tx>
            <c:strRef>
              <c:f>'M2 Fuhrpark'!$L$129</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Fuhrpark'!$M$129:$O$129</c:f>
              <c:numCache>
                <c:formatCode>#,##0</c:formatCode>
                <c:ptCount val="3"/>
                <c:pt idx="0">
                  <c:v>#N/A</c:v>
                </c:pt>
                <c:pt idx="1">
                  <c:v>#N/A</c:v>
                </c:pt>
                <c:pt idx="2">
                  <c:v>#N/A</c:v>
                </c:pt>
              </c:numCache>
            </c:numRef>
          </c:val>
          <c:extLst>
            <c:ext xmlns:c16="http://schemas.microsoft.com/office/drawing/2014/chart" uri="{C3380CC4-5D6E-409C-BE32-E72D297353CC}">
              <c16:uniqueId val="{00000015-3B1B-4BA9-8EBB-AC0721113F78}"/>
            </c:ext>
          </c:extLst>
        </c:ser>
        <c:ser>
          <c:idx val="10"/>
          <c:order val="10"/>
          <c:tx>
            <c:strRef>
              <c:f>'M2 Fuhrpark'!$L$130</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B1B-4BA9-8EBB-AC0721113F78}"/>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B1B-4BA9-8EBB-AC0721113F78}"/>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B1B-4BA9-8EBB-AC0721113F7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Fuhrpark'!$M$130:$O$130</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9-3B1B-4BA9-8EBB-AC0721113F7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'M3 Effizienz Stapler'!$D$120</c:f>
              <c:strCache>
                <c:ptCount val="1"/>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35-48C3-89BC-E7E8B8DCF005}"/>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35-48C3-89BC-E7E8B8DCF005}"/>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35-48C3-89BC-E7E8B8DCF00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Stapler'!$E$120:$G$120</c:f>
              <c:numCache>
                <c:formatCode>#,##0.0</c:formatCode>
                <c:ptCount val="3"/>
                <c:pt idx="0">
                  <c:v>#N/A</c:v>
                </c:pt>
                <c:pt idx="1">
                  <c:v>#N/A</c:v>
                </c:pt>
                <c:pt idx="2">
                  <c:v>#N/A</c:v>
                </c:pt>
              </c:numCache>
            </c:numRef>
          </c:val>
          <c:extLst>
            <c:ext xmlns:c16="http://schemas.microsoft.com/office/drawing/2014/chart" uri="{C3380CC4-5D6E-409C-BE32-E72D297353CC}">
              <c16:uniqueId val="{00000003-AE35-48C3-89BC-E7E8B8DCF005}"/>
            </c:ext>
          </c:extLst>
        </c:ser>
        <c:ser>
          <c:idx val="1"/>
          <c:order val="1"/>
          <c:tx>
            <c:strRef>
              <c:f>'M3 Effizienz Stapler'!$D$121</c:f>
              <c:strCache>
                <c:ptCount val="1"/>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35-48C3-89BC-E7E8B8DCF005}"/>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35-48C3-89BC-E7E8B8DCF005}"/>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35-48C3-89BC-E7E8B8DCF00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Stapler'!$E$121:$G$121</c:f>
              <c:numCache>
                <c:formatCode>#,##0.0</c:formatCode>
                <c:ptCount val="3"/>
                <c:pt idx="0">
                  <c:v>#N/A</c:v>
                </c:pt>
                <c:pt idx="1">
                  <c:v>#N/A</c:v>
                </c:pt>
                <c:pt idx="2">
                  <c:v>#N/A</c:v>
                </c:pt>
              </c:numCache>
            </c:numRef>
          </c:val>
          <c:extLst>
            <c:ext xmlns:c16="http://schemas.microsoft.com/office/drawing/2014/chart" uri="{C3380CC4-5D6E-409C-BE32-E72D297353CC}">
              <c16:uniqueId val="{00000007-AE35-48C3-89BC-E7E8B8DCF005}"/>
            </c:ext>
          </c:extLst>
        </c:ser>
        <c:ser>
          <c:idx val="2"/>
          <c:order val="2"/>
          <c:tx>
            <c:strRef>
              <c:f>'M3 Effizienz Stapler'!$D$122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Stapler'!$E$122:$G$122</c:f>
              <c:numCache>
                <c:formatCode>#,##0.0</c:formatCode>
                <c:ptCount val="3"/>
                <c:pt idx="0">
                  <c:v>#N/A</c:v>
                </c:pt>
                <c:pt idx="1">
                  <c:v>#N/A</c:v>
                </c:pt>
                <c:pt idx="2">
                  <c:v>#N/A</c:v>
                </c:pt>
              </c:numCache>
            </c:numRef>
          </c:val>
          <c:extLst>
            <c:ext xmlns:c16="http://schemas.microsoft.com/office/drawing/2014/chart" uri="{C3380CC4-5D6E-409C-BE32-E72D297353CC}">
              <c16:uniqueId val="{00000008-AE35-48C3-89BC-E7E8B8DCF005}"/>
            </c:ext>
          </c:extLst>
        </c:ser>
        <c:ser>
          <c:idx val="3"/>
          <c:order val="3"/>
          <c:tx>
            <c:strRef>
              <c:f>'M3 Effizienz Stapler'!$D$126</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Stapler'!$E$126:$G$126</c:f>
              <c:numCache>
                <c:formatCode>#,##0.0</c:formatCode>
                <c:ptCount val="3"/>
                <c:pt idx="0">
                  <c:v>95.691080159999984</c:v>
                </c:pt>
                <c:pt idx="1">
                  <c:v>91.43814326399999</c:v>
                </c:pt>
                <c:pt idx="2">
                  <c:v>87.185206367999996</c:v>
                </c:pt>
              </c:numCache>
            </c:numRef>
          </c:val>
          <c:extLst>
            <c:ext xmlns:c16="http://schemas.microsoft.com/office/drawing/2014/chart" uri="{C3380CC4-5D6E-409C-BE32-E72D297353CC}">
              <c16:uniqueId val="{00000009-AE35-48C3-89BC-E7E8B8DCF005}"/>
            </c:ext>
          </c:extLst>
        </c:ser>
        <c:ser>
          <c:idx val="4"/>
          <c:order val="4"/>
          <c:tx>
            <c:strRef>
              <c:f>'M3 Effizienz Stapler'!$D$123</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'M3 Effizienz Stapler'!$E$123:$G$123</c:f>
              <c:numCache>
                <c:formatCode>#,##0.0</c:formatCode>
                <c:ptCount val="3"/>
                <c:pt idx="0">
                  <c:v>#N/A</c:v>
                </c:pt>
                <c:pt idx="1">
                  <c:v>#N/A</c:v>
                </c:pt>
                <c:pt idx="2">
                  <c:v>#N/A</c:v>
                </c:pt>
              </c:numCache>
            </c:numRef>
          </c:val>
          <c:extLst>
            <c:ext xmlns:c16="http://schemas.microsoft.com/office/drawing/2014/chart" uri="{C3380CC4-5D6E-409C-BE32-E72D297353CC}">
              <c16:uniqueId val="{0000000A-AE35-48C3-89BC-E7E8B8DCF005}"/>
            </c:ext>
          </c:extLst>
        </c:ser>
        <c:ser>
          <c:idx val="5"/>
          <c:order val="5"/>
          <c:tx>
            <c:strRef>
              <c:f>'M3 Effizienz Stapler'!$D$124</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'M3 Effizienz Stapler'!$E$124:$G$124</c:f>
              <c:numCache>
                <c:formatCode>#,##0.0</c:formatCode>
                <c:ptCount val="3"/>
                <c:pt idx="0">
                  <c:v>#N/A</c:v>
                </c:pt>
                <c:pt idx="1">
                  <c:v>#N/A</c:v>
                </c:pt>
                <c:pt idx="2">
                  <c:v>#N/A</c:v>
                </c:pt>
              </c:numCache>
            </c:numRef>
          </c:val>
          <c:extLst>
            <c:ext xmlns:c16="http://schemas.microsoft.com/office/drawing/2014/chart" uri="{C3380CC4-5D6E-409C-BE32-E72D297353CC}">
              <c16:uniqueId val="{0000000B-AE35-48C3-89BC-E7E8B8DCF005}"/>
            </c:ext>
          </c:extLst>
        </c:ser>
        <c:ser>
          <c:idx val="6"/>
          <c:order val="6"/>
          <c:tx>
            <c:strRef>
              <c:f>'M3 Effizienz Stapler'!$D$125</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'M3 Effizienz Stapler'!$E$125:$G$125</c:f>
              <c:numCache>
                <c:formatCode>#,##0.0</c:formatCode>
                <c:ptCount val="3"/>
                <c:pt idx="0">
                  <c:v>#N/A</c:v>
                </c:pt>
                <c:pt idx="1">
                  <c:v>#N/A</c:v>
                </c:pt>
                <c:pt idx="2">
                  <c:v>#N/A</c:v>
                </c:pt>
              </c:numCache>
            </c:numRef>
          </c:val>
          <c:extLst>
            <c:ext xmlns:c16="http://schemas.microsoft.com/office/drawing/2014/chart" uri="{C3380CC4-5D6E-409C-BE32-E72D297353CC}">
              <c16:uniqueId val="{0000000C-AE35-48C3-89BC-E7E8B8DCF005}"/>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'M3 Effizienz Stapler'!$L$83</c:f>
              <c:strCache>
                <c:ptCount val="1"/>
                <c:pt idx="0">
                  <c:v>Scope 3</c:v>
                </c:pt>
              </c:strCache>
            </c:strRef>
          </c:tx>
          <c:spPr>
            <a:solidFill>
              <a:schemeClr val="accent3"/>
            </a:solidFill>
            <a:ln>
              <a:noFill/>
            </a:ln>
            <a:effectLst/>
          </c:spPr>
          <c:invertIfNegative val="0"/>
          <c:cat>
            <c:multiLvlStrRef>
              <c:f>'M3 Effizienz Stapler'!$M$79:$O$80</c:f>
              <c:multiLvlStrCache>
                <c:ptCount val="3"/>
                <c:lvl>
                  <c:pt idx="0">
                    <c:v>Referenz</c:v>
                  </c:pt>
                </c:lvl>
                <c:lvl>
                  <c:pt idx="0">
                    <c:v>2020</c:v>
                  </c:pt>
                  <c:pt idx="1">
                    <c:v>2025</c:v>
                  </c:pt>
                  <c:pt idx="2">
                    <c:v>2030</c:v>
                  </c:pt>
                </c:lvl>
              </c:multiLvlStrCache>
            </c:multiLvlStrRef>
          </c:cat>
          <c:val>
            <c:numRef>
              <c:f>'M3 Effizienz Stapler'!$M$83:$O$83</c:f>
              <c:numCache>
                <c:formatCode>#,##0</c:formatCode>
                <c:ptCount val="3"/>
                <c:pt idx="0">
                  <c:v>10520.622960446901</c:v>
                </c:pt>
                <c:pt idx="1">
                  <c:v>10508.386296129085</c:v>
                </c:pt>
                <c:pt idx="2">
                  <c:v>10492.159182410947</c:v>
                </c:pt>
              </c:numCache>
            </c:numRef>
          </c:val>
          <c:extLst>
            <c:ext xmlns:c16="http://schemas.microsoft.com/office/drawing/2014/chart" uri="{C3380CC4-5D6E-409C-BE32-E72D297353CC}">
              <c16:uniqueId val="{00000000-2561-4F41-B9A4-FCDBB95AC61F}"/>
            </c:ext>
          </c:extLst>
        </c:ser>
        <c:ser>
          <c:idx val="1"/>
          <c:order val="1"/>
          <c:tx>
            <c:strRef>
              <c:f>'M3 Effizienz Stapler'!$L$82</c:f>
              <c:strCache>
                <c:ptCount val="1"/>
                <c:pt idx="0">
                  <c:v>Scope 2</c:v>
                </c:pt>
              </c:strCache>
            </c:strRef>
          </c:tx>
          <c:spPr>
            <a:solidFill>
              <a:schemeClr val="accent2"/>
            </a:solidFill>
            <a:ln>
              <a:noFill/>
            </a:ln>
            <a:effectLst/>
          </c:spPr>
          <c:invertIfNegative val="0"/>
          <c:cat>
            <c:multiLvlStrRef>
              <c:f>'M3 Effizienz Stapler'!$M$79:$O$80</c:f>
              <c:multiLvlStrCache>
                <c:ptCount val="3"/>
                <c:lvl>
                  <c:pt idx="0">
                    <c:v>Referenz</c:v>
                  </c:pt>
                </c:lvl>
                <c:lvl>
                  <c:pt idx="0">
                    <c:v>2020</c:v>
                  </c:pt>
                  <c:pt idx="1">
                    <c:v>2025</c:v>
                  </c:pt>
                  <c:pt idx="2">
                    <c:v>2030</c:v>
                  </c:pt>
                </c:lvl>
              </c:multiLvlStrCache>
            </c:multiLvlStrRef>
          </c:cat>
          <c:val>
            <c:numRef>
              <c:f>'M3 Effizienz Stapler'!$M$82:$O$82</c:f>
              <c:numCache>
                <c:formatCode>#,##0</c:formatCode>
                <c:ptCount val="3"/>
                <c:pt idx="0">
                  <c:v>286.5</c:v>
                </c:pt>
                <c:pt idx="1">
                  <c:v>208.15407848118898</c:v>
                </c:pt>
                <c:pt idx="2">
                  <c:v>102.58759141018427</c:v>
                </c:pt>
              </c:numCache>
            </c:numRef>
          </c:val>
          <c:extLst>
            <c:ext xmlns:c16="http://schemas.microsoft.com/office/drawing/2014/chart" uri="{C3380CC4-5D6E-409C-BE32-E72D297353CC}">
              <c16:uniqueId val="{00000001-2561-4F41-B9A4-FCDBB95AC61F}"/>
            </c:ext>
          </c:extLst>
        </c:ser>
        <c:ser>
          <c:idx val="0"/>
          <c:order val="2"/>
          <c:tx>
            <c:strRef>
              <c:f>'M3 Effizienz Stapler'!$L$81</c:f>
              <c:strCache>
                <c:ptCount val="1"/>
                <c:pt idx="0">
                  <c:v>Scope 1 </c:v>
                </c:pt>
              </c:strCache>
            </c:strRef>
          </c:tx>
          <c:spPr>
            <a:solidFill>
              <a:schemeClr val="accent1"/>
            </a:solidFill>
            <a:ln>
              <a:noFill/>
            </a:ln>
            <a:effectLst/>
          </c:spPr>
          <c:invertIfNegative val="0"/>
          <c:cat>
            <c:multiLvlStrRef>
              <c:f>'M3 Effizienz Stapler'!$M$79:$O$80</c:f>
              <c:multiLvlStrCache>
                <c:ptCount val="3"/>
                <c:lvl>
                  <c:pt idx="0">
                    <c:v>Referenz</c:v>
                  </c:pt>
                </c:lvl>
                <c:lvl>
                  <c:pt idx="0">
                    <c:v>2020</c:v>
                  </c:pt>
                  <c:pt idx="1">
                    <c:v>2025</c:v>
                  </c:pt>
                  <c:pt idx="2">
                    <c:v>2030</c:v>
                  </c:pt>
                </c:lvl>
              </c:multiLvlStrCache>
            </c:multiLvlStrRef>
          </c:cat>
          <c:val>
            <c:numRef>
              <c:f>'M3 Effizienz Stapler'!$M$81:$O$81</c:f>
              <c:numCache>
                <c:formatCode>#,##0</c:formatCode>
                <c:ptCount val="3"/>
                <c:pt idx="0">
                  <c:v>106.60088015999999</c:v>
                </c:pt>
                <c:pt idx="1">
                  <c:v>102.34794326399999</c:v>
                </c:pt>
                <c:pt idx="2">
                  <c:v>98.095006368</c:v>
                </c:pt>
              </c:numCache>
            </c:numRef>
          </c:val>
          <c:extLst>
            <c:ext xmlns:c16="http://schemas.microsoft.com/office/drawing/2014/chart" uri="{C3380CC4-5D6E-409C-BE32-E72D297353CC}">
              <c16:uniqueId val="{00000002-2561-4F41-B9A4-FCDBB95AC61F}"/>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'M3 Effizienz Stapler'!$T$120</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Stapler'!$U$120:$W$120</c:f>
              <c:numCache>
                <c:formatCode>#,##0\ "€"</c:formatCode>
                <c:ptCount val="3"/>
                <c:pt idx="0">
                  <c:v>172669</c:v>
                </c:pt>
                <c:pt idx="1">
                  <c:v>170870.6</c:v>
                </c:pt>
                <c:pt idx="2">
                  <c:v>169072.2</c:v>
                </c:pt>
              </c:numCache>
            </c:numRef>
          </c:val>
          <c:extLst>
            <c:ext xmlns:c16="http://schemas.microsoft.com/office/drawing/2014/chart" uri="{C3380CC4-5D6E-409C-BE32-E72D297353CC}">
              <c16:uniqueId val="{00000000-DD4B-4DA8-9531-4164F66C3B6B}"/>
            </c:ext>
          </c:extLst>
        </c:ser>
        <c:ser>
          <c:idx val="1"/>
          <c:order val="1"/>
          <c:tx>
            <c:strRef>
              <c:f>'M3 Effizienz Stapler'!$T$128</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4B-4DA8-9531-4164F66C3B6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Stapler'!$U$128:$W$128</c:f>
              <c:numCache>
                <c:formatCode>#,##0\ "€"</c:formatCode>
                <c:ptCount val="3"/>
                <c:pt idx="0">
                  <c:v>0</c:v>
                </c:pt>
                <c:pt idx="1">
                  <c:v>72000</c:v>
                </c:pt>
                <c:pt idx="2">
                  <c:v>144000</c:v>
                </c:pt>
              </c:numCache>
            </c:numRef>
          </c:val>
          <c:extLst>
            <c:ext xmlns:c16="http://schemas.microsoft.com/office/drawing/2014/chart" uri="{C3380CC4-5D6E-409C-BE32-E72D297353CC}">
              <c16:uniqueId val="{00000002-DD4B-4DA8-9531-4164F66C3B6B}"/>
            </c:ext>
          </c:extLst>
        </c:ser>
        <c:ser>
          <c:idx val="2"/>
          <c:order val="2"/>
          <c:tx>
            <c:strRef>
              <c:f>'M3 Effizienz Stapler'!$T$129</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Stapler'!$U$129:$W$129</c:f>
              <c:numCache>
                <c:formatCode>#,##0\ "€"</c:formatCode>
                <c:ptCount val="3"/>
                <c:pt idx="0">
                  <c:v>#N/A</c:v>
                </c:pt>
                <c:pt idx="1">
                  <c:v>#N/A</c:v>
                </c:pt>
                <c:pt idx="2">
                  <c:v>#N/A</c:v>
                </c:pt>
              </c:numCache>
            </c:numRef>
          </c:val>
          <c:extLst>
            <c:ext xmlns:c16="http://schemas.microsoft.com/office/drawing/2014/chart" uri="{C3380CC4-5D6E-409C-BE32-E72D297353CC}">
              <c16:uniqueId val="{00000003-DD4B-4DA8-9531-4164F66C3B6B}"/>
            </c:ext>
          </c:extLst>
        </c:ser>
        <c:ser>
          <c:idx val="3"/>
          <c:order val="3"/>
          <c:tx>
            <c:strRef>
              <c:f>'M3 Effizienz Stapler'!$T$130</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Stapler'!$U$130:$W$130</c:f>
              <c:numCache>
                <c:formatCode>#,##0\ "€"</c:formatCode>
                <c:ptCount val="3"/>
                <c:pt idx="0">
                  <c:v>#N/A</c:v>
                </c:pt>
                <c:pt idx="1">
                  <c:v>#N/A</c:v>
                </c:pt>
                <c:pt idx="2">
                  <c:v>#N/A</c:v>
                </c:pt>
              </c:numCache>
            </c:numRef>
          </c:val>
          <c:extLst>
            <c:ext xmlns:c16="http://schemas.microsoft.com/office/drawing/2014/chart" uri="{C3380CC4-5D6E-409C-BE32-E72D297353CC}">
              <c16:uniqueId val="{00000004-DD4B-4DA8-9531-4164F66C3B6B}"/>
            </c:ext>
          </c:extLst>
        </c:ser>
        <c:ser>
          <c:idx val="4"/>
          <c:order val="4"/>
          <c:tx>
            <c:strRef>
              <c:f>'M3 Effizienz Stapler'!$T$131</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'M3 Effizienz Stapler'!$U$131:$W$131</c:f>
              <c:numCache>
                <c:formatCode>#,##0\ "€"</c:formatCode>
                <c:ptCount val="3"/>
                <c:pt idx="0">
                  <c:v>272843.09601517254</c:v>
                </c:pt>
                <c:pt idx="1">
                  <c:v>486849.97430434235</c:v>
                </c:pt>
                <c:pt idx="2">
                  <c:v>855427.34241513058</c:v>
                </c:pt>
              </c:numCache>
            </c:numRef>
          </c:val>
          <c:extLst>
            <c:ext xmlns:c16="http://schemas.microsoft.com/office/drawing/2014/chart" uri="{C3380CC4-5D6E-409C-BE32-E72D297353CC}">
              <c16:uniqueId val="{00000005-DD4B-4DA8-9531-4164F66C3B6B}"/>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'M3 Effizienz Stapler'!$L$120</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A-4A8F-884D-9A5D8ECF9416}"/>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6A-4A8F-884D-9A5D8ECF9416}"/>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6A-4A8F-884D-9A5D8ECF941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Stapler'!$M$120:$O$120</c:f>
              <c:numCache>
                <c:formatCode>#,##0</c:formatCode>
                <c:ptCount val="3"/>
                <c:pt idx="0">
                  <c:v>60.712972560000004</c:v>
                </c:pt>
                <c:pt idx="1">
                  <c:v>48.476308242184778</c:v>
                </c:pt>
                <c:pt idx="2">
                  <c:v>32.249194524047951</c:v>
                </c:pt>
              </c:numCache>
            </c:numRef>
          </c:val>
          <c:extLst>
            <c:ext xmlns:c16="http://schemas.microsoft.com/office/drawing/2014/chart" uri="{C3380CC4-5D6E-409C-BE32-E72D297353CC}">
              <c16:uniqueId val="{00000003-7F6A-4A8F-884D-9A5D8ECF9416}"/>
            </c:ext>
          </c:extLst>
        </c:ser>
        <c:ser>
          <c:idx val="1"/>
          <c:order val="1"/>
          <c:tx>
            <c:strRef>
              <c:f>'M3 Effizienz Stapler'!$L$121</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6A-4A8F-884D-9A5D8ECF9416}"/>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6A-4A8F-884D-9A5D8ECF9416}"/>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6A-4A8F-884D-9A5D8ECF941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Stapler'!$M$121:$O$121</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7F6A-4A8F-884D-9A5D8ECF9416}"/>
            </c:ext>
          </c:extLst>
        </c:ser>
        <c:ser>
          <c:idx val="2"/>
          <c:order val="2"/>
          <c:tx>
            <c:strRef>
              <c:f>'M3 Effizienz Stapler'!$L$122</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Stapler'!$M$122:$O$122</c:f>
              <c:numCache>
                <c:formatCode>#,##0</c:formatCode>
                <c:ptCount val="3"/>
                <c:pt idx="0">
                  <c:v>7683.24</c:v>
                </c:pt>
                <c:pt idx="1">
                  <c:v>7683.24</c:v>
                </c:pt>
                <c:pt idx="2">
                  <c:v>7683.24</c:v>
                </c:pt>
              </c:numCache>
            </c:numRef>
          </c:val>
          <c:extLst>
            <c:ext xmlns:c16="http://schemas.microsoft.com/office/drawing/2014/chart" uri="{C3380CC4-5D6E-409C-BE32-E72D297353CC}">
              <c16:uniqueId val="{00000008-7F6A-4A8F-884D-9A5D8ECF9416}"/>
            </c:ext>
          </c:extLst>
        </c:ser>
        <c:ser>
          <c:idx val="3"/>
          <c:order val="3"/>
          <c:tx>
            <c:strRef>
              <c:f>'M3 Effizienz Stapler'!$L$123</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6A-4A8F-884D-9A5D8ECF9416}"/>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6A-4A8F-884D-9A5D8ECF9416}"/>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6A-4A8F-884D-9A5D8ECF941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Stapler'!$M$123:$O$123</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7F6A-4A8F-884D-9A5D8ECF9416}"/>
            </c:ext>
          </c:extLst>
        </c:ser>
        <c:ser>
          <c:idx val="4"/>
          <c:order val="4"/>
          <c:tx>
            <c:strRef>
              <c:f>'M3 Effizienz Stapler'!$L$124</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Stapler'!$M$124:$O$124</c:f>
              <c:numCache>
                <c:formatCode>#,##0</c:formatCode>
                <c:ptCount val="3"/>
                <c:pt idx="0">
                  <c:v>1040</c:v>
                </c:pt>
                <c:pt idx="1">
                  <c:v>1040</c:v>
                </c:pt>
                <c:pt idx="2">
                  <c:v>1040</c:v>
                </c:pt>
              </c:numCache>
            </c:numRef>
          </c:val>
          <c:extLst>
            <c:ext xmlns:c16="http://schemas.microsoft.com/office/drawing/2014/chart" uri="{C3380CC4-5D6E-409C-BE32-E72D297353CC}">
              <c16:uniqueId val="{0000000D-7F6A-4A8F-884D-9A5D8ECF9416}"/>
            </c:ext>
          </c:extLst>
        </c:ser>
        <c:ser>
          <c:idx val="5"/>
          <c:order val="5"/>
          <c:tx>
            <c:strRef>
              <c:f>'M3 Effizienz Stapler'!$L$125</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Stapler'!$M$125:$O$125</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7F6A-4A8F-884D-9A5D8ECF9416}"/>
            </c:ext>
          </c:extLst>
        </c:ser>
        <c:ser>
          <c:idx val="6"/>
          <c:order val="6"/>
          <c:tx>
            <c:strRef>
              <c:f>'M3 Effizienz Stapler'!$L$126</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F6A-4A8F-884D-9A5D8ECF9416}"/>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F6A-4A8F-884D-9A5D8ECF9416}"/>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F6A-4A8F-884D-9A5D8ECF941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Stapler'!$M$126:$O$126</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7F6A-4A8F-884D-9A5D8ECF9416}"/>
            </c:ext>
          </c:extLst>
        </c:ser>
        <c:ser>
          <c:idx val="7"/>
          <c:order val="7"/>
          <c:tx>
            <c:strRef>
              <c:f>'M3 Effizienz Stapler'!$L$127</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Stapler'!$M$127:$O$127</c:f>
              <c:numCache>
                <c:formatCode>#,##0</c:formatCode>
                <c:ptCount val="3"/>
                <c:pt idx="0">
                  <c:v>#N/A</c:v>
                </c:pt>
                <c:pt idx="1">
                  <c:v>#N/A</c:v>
                </c:pt>
                <c:pt idx="2">
                  <c:v>#N/A</c:v>
                </c:pt>
              </c:numCache>
            </c:numRef>
          </c:val>
          <c:extLst>
            <c:ext xmlns:c16="http://schemas.microsoft.com/office/drawing/2014/chart" uri="{C3380CC4-5D6E-409C-BE32-E72D297353CC}">
              <c16:uniqueId val="{00000013-7F6A-4A8F-884D-9A5D8ECF9416}"/>
            </c:ext>
          </c:extLst>
        </c:ser>
        <c:ser>
          <c:idx val="8"/>
          <c:order val="8"/>
          <c:tx>
            <c:strRef>
              <c:f>'M3 Effizienz Stapler'!$L$128</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Stapler'!$M$128:$O$128</c:f>
              <c:numCache>
                <c:formatCode>#,##0</c:formatCode>
                <c:ptCount val="3"/>
                <c:pt idx="0">
                  <c:v>#N/A</c:v>
                </c:pt>
                <c:pt idx="1">
                  <c:v>#N/A</c:v>
                </c:pt>
                <c:pt idx="2">
                  <c:v>#N/A</c:v>
                </c:pt>
              </c:numCache>
            </c:numRef>
          </c:val>
          <c:extLst>
            <c:ext xmlns:c16="http://schemas.microsoft.com/office/drawing/2014/chart" uri="{C3380CC4-5D6E-409C-BE32-E72D297353CC}">
              <c16:uniqueId val="{00000014-7F6A-4A8F-884D-9A5D8ECF9416}"/>
            </c:ext>
          </c:extLst>
        </c:ser>
        <c:ser>
          <c:idx val="9"/>
          <c:order val="9"/>
          <c:tx>
            <c:strRef>
              <c:f>'M3 Effizienz Stapler'!$L$129</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Stapler'!$M$129:$O$129</c:f>
              <c:numCache>
                <c:formatCode>#,##0</c:formatCode>
                <c:ptCount val="3"/>
                <c:pt idx="0">
                  <c:v>#N/A</c:v>
                </c:pt>
                <c:pt idx="1">
                  <c:v>#N/A</c:v>
                </c:pt>
                <c:pt idx="2">
                  <c:v>#N/A</c:v>
                </c:pt>
              </c:numCache>
            </c:numRef>
          </c:val>
          <c:extLst>
            <c:ext xmlns:c16="http://schemas.microsoft.com/office/drawing/2014/chart" uri="{C3380CC4-5D6E-409C-BE32-E72D297353CC}">
              <c16:uniqueId val="{00000015-7F6A-4A8F-884D-9A5D8ECF9416}"/>
            </c:ext>
          </c:extLst>
        </c:ser>
        <c:ser>
          <c:idx val="10"/>
          <c:order val="10"/>
          <c:tx>
            <c:strRef>
              <c:f>'M3 Effizienz Stapler'!$L$130</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F6A-4A8F-884D-9A5D8ECF9416}"/>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F6A-4A8F-884D-9A5D8ECF9416}"/>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F6A-4A8F-884D-9A5D8ECF941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Stapler'!$M$130:$O$130</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9-7F6A-4A8F-884D-9A5D8ECF9416}"/>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'M4 Grünstrom'!$D$105</c:f>
              <c:strCache>
                <c:ptCount val="1"/>
              </c:strCache>
            </c:strRef>
          </c:tx>
          <c:spPr>
            <a:solidFill>
              <a:schemeClr val="accent1"/>
            </a:solidFill>
            <a:ln>
              <a:noFill/>
            </a:ln>
            <a:effectLst/>
          </c:spPr>
          <c:invertIfNegative val="0"/>
          <c:dLbls>
            <c:dLbl>
              <c:idx val="0"/>
              <c:layout>
                <c:manualLayout>
                  <c:x val="0.10998151069172327"/>
                  <c:y val="-1.4484835973489435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2C-4AB4-92B2-9A78D0DB9732}"/>
                </c:ext>
              </c:extLst>
            </c:dLbl>
            <c:dLbl>
              <c:idx val="1"/>
              <c:layout>
                <c:manualLayout>
                  <c:x val="0.10976730470956175"/>
                  <c:y val="-5.87962826860467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2C-4AB4-92B2-9A78D0DB9732}"/>
                </c:ext>
              </c:extLst>
            </c:dLbl>
            <c:dLbl>
              <c:idx val="2"/>
              <c:layout>
                <c:manualLayout>
                  <c:x val="0.1133867122645153"/>
                  <c:y val="-1.768147738854690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2C-4AB4-92B2-9A78D0DB973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Grünstrom'!$E$105:$G$105</c:f>
              <c:numCache>
                <c:formatCode>#,##0.0</c:formatCode>
                <c:ptCount val="3"/>
                <c:pt idx="0">
                  <c:v>#N/A</c:v>
                </c:pt>
                <c:pt idx="1">
                  <c:v>#N/A</c:v>
                </c:pt>
                <c:pt idx="2">
                  <c:v>#N/A</c:v>
                </c:pt>
              </c:numCache>
            </c:numRef>
          </c:val>
          <c:extLst>
            <c:ext xmlns:c16="http://schemas.microsoft.com/office/drawing/2014/chart" uri="{C3380CC4-5D6E-409C-BE32-E72D297353CC}">
              <c16:uniqueId val="{00000003-E42C-4AB4-92B2-9A78D0DB9732}"/>
            </c:ext>
          </c:extLst>
        </c:ser>
        <c:ser>
          <c:idx val="1"/>
          <c:order val="1"/>
          <c:tx>
            <c:strRef>
              <c:f>'M4 Grünstrom'!$D$106</c:f>
              <c:strCache>
                <c:ptCount val="1"/>
              </c:strCache>
            </c:strRef>
          </c:tx>
          <c:spPr>
            <a:solidFill>
              <a:schemeClr val="accent2"/>
            </a:solidFill>
            <a:ln>
              <a:noFill/>
            </a:ln>
            <a:effectLst/>
          </c:spPr>
          <c:invertIfNegative val="0"/>
          <c:dLbls>
            <c:dLbl>
              <c:idx val="0"/>
              <c:layout>
                <c:manualLayout>
                  <c:x val="0.10987155839399175"/>
                  <c:y val="-5.04453231658148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2C-4AB4-92B2-9A78D0DB9732}"/>
                </c:ext>
              </c:extLst>
            </c:dLbl>
            <c:dLbl>
              <c:idx val="1"/>
              <c:layout>
                <c:manualLayout>
                  <c:x val="0.10965672679383666"/>
                  <c:y val="-4.763401675138512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2C-4AB4-92B2-9A78D0DB9732}"/>
                </c:ext>
              </c:extLst>
            </c:dLbl>
            <c:dLbl>
              <c:idx val="2"/>
              <c:layout>
                <c:manualLayout>
                  <c:x val="0.11349602065165454"/>
                  <c:y val="-5.364133949376079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2C-4AB4-92B2-9A78D0DB973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Grünstrom'!$E$106:$G$106</c:f>
              <c:numCache>
                <c:formatCode>#,##0.0</c:formatCode>
                <c:ptCount val="3"/>
                <c:pt idx="0">
                  <c:v>#N/A</c:v>
                </c:pt>
                <c:pt idx="1">
                  <c:v>#N/A</c:v>
                </c:pt>
                <c:pt idx="2">
                  <c:v>#N/A</c:v>
                </c:pt>
              </c:numCache>
            </c:numRef>
          </c:val>
          <c:extLst>
            <c:ext xmlns:c16="http://schemas.microsoft.com/office/drawing/2014/chart" uri="{C3380CC4-5D6E-409C-BE32-E72D297353CC}">
              <c16:uniqueId val="{00000007-E42C-4AB4-92B2-9A78D0DB9732}"/>
            </c:ext>
          </c:extLst>
        </c:ser>
        <c:ser>
          <c:idx val="2"/>
          <c:order val="2"/>
          <c:tx>
            <c:strRef>
              <c:f>'M4 Grünstrom'!$D$107</c:f>
              <c:strCache>
                <c:ptCount val="1"/>
                <c:pt idx="0">
                  <c:v>Strom</c:v>
                </c:pt>
              </c:strCache>
            </c:strRef>
          </c:tx>
          <c:spPr>
            <a:solidFill>
              <a:schemeClr val="accent3"/>
            </a:solidFill>
            <a:ln>
              <a:noFill/>
            </a:ln>
            <a:effectLst/>
          </c:spPr>
          <c:invertIfNegative val="0"/>
          <c:dLbls>
            <c:dLbl>
              <c:idx val="1"/>
              <c:layout>
                <c:manualLayout>
                  <c:x val="0.11003457138501997"/>
                  <c:y val="-9.4074052297673086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2C-4AB4-92B2-9A78D0DB9732}"/>
                </c:ext>
              </c:extLst>
            </c:dLbl>
            <c:dLbl>
              <c:idx val="2"/>
              <c:layout>
                <c:manualLayout>
                  <c:x val="0.11376451564838445"/>
                  <c:y val="-9.995358009258889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42C-4AB4-92B2-9A78D0DB973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Grünstrom'!$E$107:$G$107</c:f>
              <c:numCache>
                <c:formatCode>#,##0.0</c:formatCode>
                <c:ptCount val="3"/>
                <c:pt idx="0">
                  <c:v>286.5</c:v>
                </c:pt>
                <c:pt idx="1">
                  <c:v>0</c:v>
                </c:pt>
                <c:pt idx="2">
                  <c:v>0</c:v>
                </c:pt>
              </c:numCache>
            </c:numRef>
          </c:val>
          <c:extLst>
            <c:ext xmlns:c16="http://schemas.microsoft.com/office/drawing/2014/chart" uri="{C3380CC4-5D6E-409C-BE32-E72D297353CC}">
              <c16:uniqueId val="{00000008-E42C-4AB4-92B2-9A78D0DB9732}"/>
            </c:ext>
          </c:extLst>
        </c:ser>
        <c:ser>
          <c:idx val="3"/>
          <c:order val="3"/>
          <c:tx>
            <c:strRef>
              <c:f>'M4 Grünstrom'!$D$111</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Grünstrom'!$E$111:$G$111</c:f>
              <c:numCache>
                <c:formatCode>#,##0.0</c:formatCode>
                <c:ptCount val="3"/>
                <c:pt idx="0">
                  <c:v>#N/A</c:v>
                </c:pt>
                <c:pt idx="1">
                  <c:v>#N/A</c:v>
                </c:pt>
                <c:pt idx="2">
                  <c:v>#N/A</c:v>
                </c:pt>
              </c:numCache>
            </c:numRef>
          </c:val>
          <c:extLst>
            <c:ext xmlns:c16="http://schemas.microsoft.com/office/drawing/2014/chart" uri="{C3380CC4-5D6E-409C-BE32-E72D297353CC}">
              <c16:uniqueId val="{00000009-E42C-4AB4-92B2-9A78D0DB9732}"/>
            </c:ext>
          </c:extLst>
        </c:ser>
        <c:ser>
          <c:idx val="4"/>
          <c:order val="4"/>
          <c:tx>
            <c:strRef>
              <c:f>'M4 Grünstrom'!$D$108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'M4 Grünstrom'!$E$108:$G$108</c:f>
              <c:numCache>
                <c:formatCode>#,##0.0</c:formatCode>
                <c:ptCount val="3"/>
                <c:pt idx="0">
                  <c:v>#N/A</c:v>
                </c:pt>
                <c:pt idx="1">
                  <c:v>#N/A</c:v>
                </c:pt>
                <c:pt idx="2">
                  <c:v>#N/A</c:v>
                </c:pt>
              </c:numCache>
            </c:numRef>
          </c:val>
          <c:extLst>
            <c:ext xmlns:c16="http://schemas.microsoft.com/office/drawing/2014/chart" uri="{C3380CC4-5D6E-409C-BE32-E72D297353CC}">
              <c16:uniqueId val="{0000000A-E42C-4AB4-92B2-9A78D0DB9732}"/>
            </c:ext>
          </c:extLst>
        </c:ser>
        <c:ser>
          <c:idx val="5"/>
          <c:order val="5"/>
          <c:tx>
            <c:strRef>
              <c:f>'M4 Grünstrom'!$D$109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'M4 Grünstrom'!$E$109:$G$109</c:f>
              <c:numCache>
                <c:formatCode>#,##0.0</c:formatCode>
                <c:ptCount val="3"/>
                <c:pt idx="0">
                  <c:v>#N/A</c:v>
                </c:pt>
                <c:pt idx="1">
                  <c:v>#N/A</c:v>
                </c:pt>
                <c:pt idx="2">
                  <c:v>#N/A</c:v>
                </c:pt>
              </c:numCache>
            </c:numRef>
          </c:val>
          <c:extLst>
            <c:ext xmlns:c16="http://schemas.microsoft.com/office/drawing/2014/chart" uri="{C3380CC4-5D6E-409C-BE32-E72D297353CC}">
              <c16:uniqueId val="{0000000B-E42C-4AB4-92B2-9A78D0DB9732}"/>
            </c:ext>
          </c:extLst>
        </c:ser>
        <c:ser>
          <c:idx val="6"/>
          <c:order val="6"/>
          <c:tx>
            <c:strRef>
              <c:f>'M4 Grünstrom'!$D$110</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'M4 Grünstrom'!$E$110:$G$110</c:f>
              <c:numCache>
                <c:formatCode>#,##0.0</c:formatCode>
                <c:ptCount val="3"/>
                <c:pt idx="0">
                  <c:v>#N/A</c:v>
                </c:pt>
                <c:pt idx="1">
                  <c:v>#N/A</c:v>
                </c:pt>
                <c:pt idx="2">
                  <c:v>#N/A</c:v>
                </c:pt>
              </c:numCache>
            </c:numRef>
          </c:val>
          <c:extLst>
            <c:ext xmlns:c16="http://schemas.microsoft.com/office/drawing/2014/chart" uri="{C3380CC4-5D6E-409C-BE32-E72D297353CC}">
              <c16:uniqueId val="{0000000C-E42C-4AB4-92B2-9A78D0DB9732}"/>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'M4 Grünstrom'!$L$68</c:f>
              <c:strCache>
                <c:ptCount val="1"/>
                <c:pt idx="0">
                  <c:v>Scope 3</c:v>
                </c:pt>
              </c:strCache>
            </c:strRef>
          </c:tx>
          <c:spPr>
            <a:solidFill>
              <a:schemeClr val="accent3"/>
            </a:solidFill>
            <a:ln>
              <a:noFill/>
            </a:ln>
            <a:effectLst/>
          </c:spPr>
          <c:invertIfNegative val="0"/>
          <c:cat>
            <c:multiLvlStrRef>
              <c:f>'M4 Grünstrom'!$M$64:$O$65</c:f>
              <c:multiLvlStrCache>
                <c:ptCount val="3"/>
                <c:lvl>
                  <c:pt idx="0">
                    <c:v>Referenz</c:v>
                  </c:pt>
                </c:lvl>
                <c:lvl>
                  <c:pt idx="0">
                    <c:v>2020</c:v>
                  </c:pt>
                  <c:pt idx="1">
                    <c:v>2025</c:v>
                  </c:pt>
                  <c:pt idx="2">
                    <c:v>2030</c:v>
                  </c:pt>
                </c:lvl>
              </c:multiLvlStrCache>
            </c:multiLvlStrRef>
          </c:cat>
          <c:val>
            <c:numRef>
              <c:f>'M4 Grünstrom'!$M$68:$O$68</c:f>
              <c:numCache>
                <c:formatCode>#,##0</c:formatCode>
                <c:ptCount val="3"/>
                <c:pt idx="0">
                  <c:v>10520.622960446901</c:v>
                </c:pt>
                <c:pt idx="1">
                  <c:v>10509.215460446898</c:v>
                </c:pt>
                <c:pt idx="2">
                  <c:v>10509.215460446898</c:v>
                </c:pt>
              </c:numCache>
            </c:numRef>
          </c:val>
          <c:extLst>
            <c:ext xmlns:c16="http://schemas.microsoft.com/office/drawing/2014/chart" uri="{C3380CC4-5D6E-409C-BE32-E72D297353CC}">
              <c16:uniqueId val="{00000000-D707-407D-A3A1-758814DC6D7F}"/>
            </c:ext>
          </c:extLst>
        </c:ser>
        <c:ser>
          <c:idx val="1"/>
          <c:order val="1"/>
          <c:tx>
            <c:strRef>
              <c:f>'M4 Grünstrom'!$L$67</c:f>
              <c:strCache>
                <c:ptCount val="1"/>
                <c:pt idx="0">
                  <c:v>Scope 2</c:v>
                </c:pt>
              </c:strCache>
            </c:strRef>
          </c:tx>
          <c:spPr>
            <a:solidFill>
              <a:schemeClr val="accent2"/>
            </a:solidFill>
            <a:ln>
              <a:noFill/>
            </a:ln>
            <a:effectLst/>
          </c:spPr>
          <c:invertIfNegative val="0"/>
          <c:cat>
            <c:multiLvlStrRef>
              <c:f>'M4 Grünstrom'!$M$64:$O$65</c:f>
              <c:multiLvlStrCache>
                <c:ptCount val="3"/>
                <c:lvl>
                  <c:pt idx="0">
                    <c:v>Referenz</c:v>
                  </c:pt>
                </c:lvl>
                <c:lvl>
                  <c:pt idx="0">
                    <c:v>2020</c:v>
                  </c:pt>
                  <c:pt idx="1">
                    <c:v>2025</c:v>
                  </c:pt>
                  <c:pt idx="2">
                    <c:v>2030</c:v>
                  </c:pt>
                </c:lvl>
              </c:multiLvlStrCache>
            </c:multiLvlStrRef>
          </c:cat>
          <c:val>
            <c:numRef>
              <c:f>'M4 Grünstrom'!$M$67:$O$67</c:f>
              <c:numCache>
                <c:formatCode>#,##0</c:formatCode>
                <c:ptCount val="3"/>
                <c:pt idx="0">
                  <c:v>286.5</c:v>
                </c:pt>
                <c:pt idx="1">
                  <c:v>0</c:v>
                </c:pt>
                <c:pt idx="2">
                  <c:v>0</c:v>
                </c:pt>
              </c:numCache>
            </c:numRef>
          </c:val>
          <c:extLst>
            <c:ext xmlns:c16="http://schemas.microsoft.com/office/drawing/2014/chart" uri="{C3380CC4-5D6E-409C-BE32-E72D297353CC}">
              <c16:uniqueId val="{00000001-D707-407D-A3A1-758814DC6D7F}"/>
            </c:ext>
          </c:extLst>
        </c:ser>
        <c:ser>
          <c:idx val="0"/>
          <c:order val="2"/>
          <c:tx>
            <c:strRef>
              <c:f>'M4 Grünstrom'!$L$66</c:f>
              <c:strCache>
                <c:ptCount val="1"/>
                <c:pt idx="0">
                  <c:v>Scope 1 </c:v>
                </c:pt>
              </c:strCache>
            </c:strRef>
          </c:tx>
          <c:spPr>
            <a:solidFill>
              <a:schemeClr val="accent1"/>
            </a:solidFill>
            <a:ln>
              <a:noFill/>
            </a:ln>
            <a:effectLst/>
          </c:spPr>
          <c:invertIfNegative val="0"/>
          <c:cat>
            <c:multiLvlStrRef>
              <c:f>'M4 Grünstrom'!$M$64:$O$65</c:f>
              <c:multiLvlStrCache>
                <c:ptCount val="3"/>
                <c:lvl>
                  <c:pt idx="0">
                    <c:v>Referenz</c:v>
                  </c:pt>
                </c:lvl>
                <c:lvl>
                  <c:pt idx="0">
                    <c:v>2020</c:v>
                  </c:pt>
                  <c:pt idx="1">
                    <c:v>2025</c:v>
                  </c:pt>
                  <c:pt idx="2">
                    <c:v>2030</c:v>
                  </c:pt>
                </c:lvl>
              </c:multiLvlStrCache>
            </c:multiLvlStrRef>
          </c:cat>
          <c:val>
            <c:numRef>
              <c:f>'M4 Grünstrom'!$M$66:$O$66</c:f>
              <c:numCache>
                <c:formatCode>#,##0</c:formatCode>
                <c:ptCount val="3"/>
                <c:pt idx="0">
                  <c:v>106.60088015999999</c:v>
                </c:pt>
                <c:pt idx="1">
                  <c:v>106.60088015999999</c:v>
                </c:pt>
                <c:pt idx="2">
                  <c:v>106.60088015999999</c:v>
                </c:pt>
              </c:numCache>
            </c:numRef>
          </c:val>
          <c:extLst>
            <c:ext xmlns:c16="http://schemas.microsoft.com/office/drawing/2014/chart" uri="{C3380CC4-5D6E-409C-BE32-E72D297353CC}">
              <c16:uniqueId val="{00000002-D707-407D-A3A1-758814DC6D7F}"/>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'M4 Grünstrom'!$T$105</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Grünstrom'!$U$105:$W$105</c:f>
              <c:numCache>
                <c:formatCode>#,##0\ "€"</c:formatCode>
                <c:ptCount val="3"/>
                <c:pt idx="0">
                  <c:v>172669</c:v>
                </c:pt>
                <c:pt idx="1">
                  <c:v>174544</c:v>
                </c:pt>
                <c:pt idx="2">
                  <c:v>174544</c:v>
                </c:pt>
              </c:numCache>
            </c:numRef>
          </c:val>
          <c:extLst>
            <c:ext xmlns:c16="http://schemas.microsoft.com/office/drawing/2014/chart" uri="{C3380CC4-5D6E-409C-BE32-E72D297353CC}">
              <c16:uniqueId val="{00000000-FC80-41B5-B83F-3F458907E1FC}"/>
            </c:ext>
          </c:extLst>
        </c:ser>
        <c:ser>
          <c:idx val="1"/>
          <c:order val="1"/>
          <c:tx>
            <c:strRef>
              <c:f>'M4 Grünstrom'!$T$113</c:f>
              <c:strCache>
                <c:ptCount val="1"/>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80-41B5-B83F-3F458907E1FC}"/>
                </c:ext>
              </c:extLst>
            </c:dLbl>
            <c:dLbl>
              <c:idx val="1"/>
              <c:layout>
                <c:manualLayout>
                  <c:x val="8.1715825846082682E-2"/>
                  <c:y val="-3.062375033396767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80-41B5-B83F-3F458907E1FC}"/>
                </c:ext>
              </c:extLst>
            </c:dLbl>
            <c:dLbl>
              <c:idx val="2"/>
              <c:layout>
                <c:manualLayout>
                  <c:x val="8.361619388901477E-2"/>
                  <c:y val="-3.062375033396767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80-41B5-B83F-3F458907E1F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Grünstrom'!$U$113:$W$113</c:f>
              <c:numCache>
                <c:formatCode>#,##0\ "€"</c:formatCode>
                <c:ptCount val="3"/>
                <c:pt idx="0">
                  <c:v>#N/A</c:v>
                </c:pt>
                <c:pt idx="1">
                  <c:v>#N/A</c:v>
                </c:pt>
                <c:pt idx="2">
                  <c:v>#N/A</c:v>
                </c:pt>
              </c:numCache>
            </c:numRef>
          </c:val>
          <c:extLst>
            <c:ext xmlns:c16="http://schemas.microsoft.com/office/drawing/2014/chart" uri="{C3380CC4-5D6E-409C-BE32-E72D297353CC}">
              <c16:uniqueId val="{00000002-FC80-41B5-B83F-3F458907E1FC}"/>
            </c:ext>
          </c:extLst>
        </c:ser>
        <c:ser>
          <c:idx val="2"/>
          <c:order val="2"/>
          <c:tx>
            <c:strRef>
              <c:f>'M4 Grünstrom'!$T$114</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Grünstrom'!$U$114:$W$114</c:f>
              <c:numCache>
                <c:formatCode>#,##0\ "€"</c:formatCode>
                <c:ptCount val="3"/>
                <c:pt idx="0">
                  <c:v>#N/A</c:v>
                </c:pt>
                <c:pt idx="1">
                  <c:v>#N/A</c:v>
                </c:pt>
                <c:pt idx="2">
                  <c:v>#N/A</c:v>
                </c:pt>
              </c:numCache>
            </c:numRef>
          </c:val>
          <c:extLst>
            <c:ext xmlns:c16="http://schemas.microsoft.com/office/drawing/2014/chart" uri="{C3380CC4-5D6E-409C-BE32-E72D297353CC}">
              <c16:uniqueId val="{00000003-FC80-41B5-B83F-3F458907E1FC}"/>
            </c:ext>
          </c:extLst>
        </c:ser>
        <c:ser>
          <c:idx val="3"/>
          <c:order val="3"/>
          <c:tx>
            <c:strRef>
              <c:f>'M4 Grünstrom'!$T$115</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Grünstrom'!$U$115:$W$115</c:f>
              <c:numCache>
                <c:formatCode>#,##0\ "€"</c:formatCode>
                <c:ptCount val="3"/>
                <c:pt idx="0">
                  <c:v>#N/A</c:v>
                </c:pt>
                <c:pt idx="1">
                  <c:v>#N/A</c:v>
                </c:pt>
                <c:pt idx="2">
                  <c:v>#N/A</c:v>
                </c:pt>
              </c:numCache>
            </c:numRef>
          </c:val>
          <c:extLst>
            <c:ext xmlns:c16="http://schemas.microsoft.com/office/drawing/2014/chart" uri="{C3380CC4-5D6E-409C-BE32-E72D297353CC}">
              <c16:uniqueId val="{00000004-FC80-41B5-B83F-3F458907E1FC}"/>
            </c:ext>
          </c:extLst>
        </c:ser>
        <c:ser>
          <c:idx val="4"/>
          <c:order val="4"/>
          <c:tx>
            <c:strRef>
              <c:f>'M4 Grünstrom'!$T$116</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'M4 Grünstrom'!$U$116:$W$116</c:f>
              <c:numCache>
                <c:formatCode>#,##0\ "€"</c:formatCode>
                <c:ptCount val="3"/>
                <c:pt idx="0">
                  <c:v>272843.09601517254</c:v>
                </c:pt>
                <c:pt idx="1">
                  <c:v>477711.73532731039</c:v>
                </c:pt>
                <c:pt idx="2">
                  <c:v>849265.30724855175</c:v>
                </c:pt>
              </c:numCache>
            </c:numRef>
          </c:val>
          <c:extLst>
            <c:ext xmlns:c16="http://schemas.microsoft.com/office/drawing/2014/chart" uri="{C3380CC4-5D6E-409C-BE32-E72D297353CC}">
              <c16:uniqueId val="{00000005-FC80-41B5-B83F-3F458907E1FC}"/>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'M4 Grünstrom'!$L$105</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41-400C-ACAB-4000313AD974}"/>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41-400C-ACAB-4000313AD974}"/>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41-400C-ACAB-4000313AD97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Grünstrom'!$M$105:$O$105</c:f>
              <c:numCache>
                <c:formatCode>#,##0</c:formatCode>
                <c:ptCount val="3"/>
                <c:pt idx="0">
                  <c:v>60.712972560000004</c:v>
                </c:pt>
                <c:pt idx="1">
                  <c:v>49.305472560000005</c:v>
                </c:pt>
                <c:pt idx="2">
                  <c:v>49.305472560000005</c:v>
                </c:pt>
              </c:numCache>
            </c:numRef>
          </c:val>
          <c:extLst>
            <c:ext xmlns:c16="http://schemas.microsoft.com/office/drawing/2014/chart" uri="{C3380CC4-5D6E-409C-BE32-E72D297353CC}">
              <c16:uniqueId val="{00000003-6C41-400C-ACAB-4000313AD974}"/>
            </c:ext>
          </c:extLst>
        </c:ser>
        <c:ser>
          <c:idx val="1"/>
          <c:order val="1"/>
          <c:tx>
            <c:strRef>
              <c:f>'M4 Grünstrom'!$L$106</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1-400C-ACAB-4000313AD974}"/>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41-400C-ACAB-4000313AD974}"/>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1-400C-ACAB-4000313AD97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Grünstrom'!$M$106:$O$106</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6C41-400C-ACAB-4000313AD974}"/>
            </c:ext>
          </c:extLst>
        </c:ser>
        <c:ser>
          <c:idx val="2"/>
          <c:order val="2"/>
          <c:tx>
            <c:strRef>
              <c:f>'M4 Grünstrom'!$L$107</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Grünstrom'!$M$107:$O$107</c:f>
              <c:numCache>
                <c:formatCode>#,##0</c:formatCode>
                <c:ptCount val="3"/>
                <c:pt idx="0">
                  <c:v>7683.24</c:v>
                </c:pt>
                <c:pt idx="1">
                  <c:v>7683.24</c:v>
                </c:pt>
                <c:pt idx="2">
                  <c:v>7683.24</c:v>
                </c:pt>
              </c:numCache>
            </c:numRef>
          </c:val>
          <c:extLst>
            <c:ext xmlns:c16="http://schemas.microsoft.com/office/drawing/2014/chart" uri="{C3380CC4-5D6E-409C-BE32-E72D297353CC}">
              <c16:uniqueId val="{00000008-6C41-400C-ACAB-4000313AD974}"/>
            </c:ext>
          </c:extLst>
        </c:ser>
        <c:ser>
          <c:idx val="3"/>
          <c:order val="3"/>
          <c:tx>
            <c:strRef>
              <c:f>'M4 Grünstrom'!$L$108</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41-400C-ACAB-4000313AD974}"/>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41-400C-ACAB-4000313AD974}"/>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41-400C-ACAB-4000313AD97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Grünstrom'!$M$108:$O$108</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6C41-400C-ACAB-4000313AD974}"/>
            </c:ext>
          </c:extLst>
        </c:ser>
        <c:ser>
          <c:idx val="4"/>
          <c:order val="4"/>
          <c:tx>
            <c:strRef>
              <c:f>'M4 Grünstrom'!$L$109</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Grünstrom'!$M$109:$O$109</c:f>
              <c:numCache>
                <c:formatCode>#,##0</c:formatCode>
                <c:ptCount val="3"/>
                <c:pt idx="0">
                  <c:v>1040</c:v>
                </c:pt>
                <c:pt idx="1">
                  <c:v>1040</c:v>
                </c:pt>
                <c:pt idx="2">
                  <c:v>1040</c:v>
                </c:pt>
              </c:numCache>
            </c:numRef>
          </c:val>
          <c:extLst>
            <c:ext xmlns:c16="http://schemas.microsoft.com/office/drawing/2014/chart" uri="{C3380CC4-5D6E-409C-BE32-E72D297353CC}">
              <c16:uniqueId val="{0000000D-6C41-400C-ACAB-4000313AD974}"/>
            </c:ext>
          </c:extLst>
        </c:ser>
        <c:ser>
          <c:idx val="5"/>
          <c:order val="5"/>
          <c:tx>
            <c:strRef>
              <c:f>'M4 Grünstrom'!$L$110</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Grünstrom'!$M$110:$O$110</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6C41-400C-ACAB-4000313AD974}"/>
            </c:ext>
          </c:extLst>
        </c:ser>
        <c:ser>
          <c:idx val="6"/>
          <c:order val="6"/>
          <c:tx>
            <c:strRef>
              <c:f>'M4 Grünstrom'!$L$111</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41-400C-ACAB-4000313AD974}"/>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41-400C-ACAB-4000313AD974}"/>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41-400C-ACAB-4000313AD97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Grünstrom'!$M$111:$O$111</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6C41-400C-ACAB-4000313AD974}"/>
            </c:ext>
          </c:extLst>
        </c:ser>
        <c:ser>
          <c:idx val="7"/>
          <c:order val="7"/>
          <c:tx>
            <c:strRef>
              <c:f>'M4 Grünstrom'!$L$112</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Grünstrom'!$M$112:$O$112</c:f>
              <c:numCache>
                <c:formatCode>#,##0</c:formatCode>
                <c:ptCount val="3"/>
                <c:pt idx="0">
                  <c:v>#N/A</c:v>
                </c:pt>
                <c:pt idx="1">
                  <c:v>#N/A</c:v>
                </c:pt>
                <c:pt idx="2">
                  <c:v>#N/A</c:v>
                </c:pt>
              </c:numCache>
            </c:numRef>
          </c:val>
          <c:extLst>
            <c:ext xmlns:c16="http://schemas.microsoft.com/office/drawing/2014/chart" uri="{C3380CC4-5D6E-409C-BE32-E72D297353CC}">
              <c16:uniqueId val="{00000013-6C41-400C-ACAB-4000313AD974}"/>
            </c:ext>
          </c:extLst>
        </c:ser>
        <c:ser>
          <c:idx val="8"/>
          <c:order val="8"/>
          <c:tx>
            <c:strRef>
              <c:f>'M4 Grünstrom'!$L$113</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Grünstrom'!$M$113:$O$113</c:f>
              <c:numCache>
                <c:formatCode>#,##0</c:formatCode>
                <c:ptCount val="3"/>
                <c:pt idx="0">
                  <c:v>#N/A</c:v>
                </c:pt>
                <c:pt idx="1">
                  <c:v>#N/A</c:v>
                </c:pt>
                <c:pt idx="2">
                  <c:v>#N/A</c:v>
                </c:pt>
              </c:numCache>
            </c:numRef>
          </c:val>
          <c:extLst>
            <c:ext xmlns:c16="http://schemas.microsoft.com/office/drawing/2014/chart" uri="{C3380CC4-5D6E-409C-BE32-E72D297353CC}">
              <c16:uniqueId val="{00000014-6C41-400C-ACAB-4000313AD974}"/>
            </c:ext>
          </c:extLst>
        </c:ser>
        <c:ser>
          <c:idx val="9"/>
          <c:order val="9"/>
          <c:tx>
            <c:strRef>
              <c:f>'M4 Grünstrom'!$L$114</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Grünstrom'!$M$114:$O$114</c:f>
              <c:numCache>
                <c:formatCode>#,##0</c:formatCode>
                <c:ptCount val="3"/>
                <c:pt idx="0">
                  <c:v>#N/A</c:v>
                </c:pt>
                <c:pt idx="1">
                  <c:v>#N/A</c:v>
                </c:pt>
                <c:pt idx="2">
                  <c:v>#N/A</c:v>
                </c:pt>
              </c:numCache>
            </c:numRef>
          </c:val>
          <c:extLst>
            <c:ext xmlns:c16="http://schemas.microsoft.com/office/drawing/2014/chart" uri="{C3380CC4-5D6E-409C-BE32-E72D297353CC}">
              <c16:uniqueId val="{00000015-6C41-400C-ACAB-4000313AD974}"/>
            </c:ext>
          </c:extLst>
        </c:ser>
        <c:ser>
          <c:idx val="10"/>
          <c:order val="10"/>
          <c:tx>
            <c:strRef>
              <c:f>'M4 Grünstrom'!$L$115</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C41-400C-ACAB-4000313AD974}"/>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C41-400C-ACAB-4000313AD974}"/>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C41-400C-ACAB-4000313AD97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Grünstrom'!$M$115:$O$115</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9-6C41-400C-ACAB-4000313AD974}"/>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'M5 PV-Anlage'!$D$111</c:f>
              <c:strCache>
                <c:ptCount val="1"/>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A5-4F41-B394-D659CC8D3DFA}"/>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A5-4F41-B394-D659CC8D3DFA}"/>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A5-4F41-B394-D659CC8D3DF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PV-Anlage'!$E$111:$G$111</c:f>
              <c:numCache>
                <c:formatCode>#,##0.0</c:formatCode>
                <c:ptCount val="3"/>
                <c:pt idx="0">
                  <c:v>#N/A</c:v>
                </c:pt>
                <c:pt idx="1">
                  <c:v>#N/A</c:v>
                </c:pt>
                <c:pt idx="2">
                  <c:v>#N/A</c:v>
                </c:pt>
              </c:numCache>
            </c:numRef>
          </c:val>
          <c:extLst>
            <c:ext xmlns:c16="http://schemas.microsoft.com/office/drawing/2014/chart" uri="{C3380CC4-5D6E-409C-BE32-E72D297353CC}">
              <c16:uniqueId val="{00000003-7AA5-4F41-B394-D659CC8D3DFA}"/>
            </c:ext>
          </c:extLst>
        </c:ser>
        <c:ser>
          <c:idx val="1"/>
          <c:order val="1"/>
          <c:tx>
            <c:strRef>
              <c:f>'M5 PV-Anlage'!$D$112</c:f>
              <c:strCache>
                <c:ptCount val="1"/>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A5-4F41-B394-D659CC8D3DFA}"/>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A5-4F41-B394-D659CC8D3DFA}"/>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A5-4F41-B394-D659CC8D3DF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PV-Anlage'!$E$112:$G$112</c:f>
              <c:numCache>
                <c:formatCode>#,##0.0</c:formatCode>
                <c:ptCount val="3"/>
                <c:pt idx="0">
                  <c:v>#N/A</c:v>
                </c:pt>
                <c:pt idx="1">
                  <c:v>#N/A</c:v>
                </c:pt>
                <c:pt idx="2">
                  <c:v>#N/A</c:v>
                </c:pt>
              </c:numCache>
            </c:numRef>
          </c:val>
          <c:extLst>
            <c:ext xmlns:c16="http://schemas.microsoft.com/office/drawing/2014/chart" uri="{C3380CC4-5D6E-409C-BE32-E72D297353CC}">
              <c16:uniqueId val="{00000007-7AA5-4F41-B394-D659CC8D3DFA}"/>
            </c:ext>
          </c:extLst>
        </c:ser>
        <c:ser>
          <c:idx val="2"/>
          <c:order val="2"/>
          <c:tx>
            <c:strRef>
              <c:f>'M5 PV-Anlage'!$D$113</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PV-Anlage'!$E$113:$G$113</c:f>
              <c:numCache>
                <c:formatCode>#,##0.0</c:formatCode>
                <c:ptCount val="3"/>
                <c:pt idx="0">
                  <c:v>286.5</c:v>
                </c:pt>
                <c:pt idx="1">
                  <c:v>180.40020135036377</c:v>
                </c:pt>
                <c:pt idx="2">
                  <c:v>88.909245888826362</c:v>
                </c:pt>
              </c:numCache>
            </c:numRef>
          </c:val>
          <c:extLst>
            <c:ext xmlns:c16="http://schemas.microsoft.com/office/drawing/2014/chart" uri="{C3380CC4-5D6E-409C-BE32-E72D297353CC}">
              <c16:uniqueId val="{00000008-7AA5-4F41-B394-D659CC8D3DFA}"/>
            </c:ext>
          </c:extLst>
        </c:ser>
        <c:ser>
          <c:idx val="3"/>
          <c:order val="3"/>
          <c:tx>
            <c:strRef>
              <c:f>'M5 PV-Anlage'!$D$117</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PV-Anlage'!$E$117:$G$117</c:f>
              <c:numCache>
                <c:formatCode>#,##0.0</c:formatCode>
                <c:ptCount val="3"/>
                <c:pt idx="0">
                  <c:v>#N/A</c:v>
                </c:pt>
                <c:pt idx="1">
                  <c:v>#N/A</c:v>
                </c:pt>
                <c:pt idx="2">
                  <c:v>#N/A</c:v>
                </c:pt>
              </c:numCache>
            </c:numRef>
          </c:val>
          <c:extLst>
            <c:ext xmlns:c16="http://schemas.microsoft.com/office/drawing/2014/chart" uri="{C3380CC4-5D6E-409C-BE32-E72D297353CC}">
              <c16:uniqueId val="{00000009-7AA5-4F41-B394-D659CC8D3DFA}"/>
            </c:ext>
          </c:extLst>
        </c:ser>
        <c:ser>
          <c:idx val="4"/>
          <c:order val="4"/>
          <c:tx>
            <c:strRef>
              <c:f>'M5 PV-Anlage'!$D$114</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'M5 PV-Anlage'!$E$114:$G$114</c:f>
              <c:numCache>
                <c:formatCode>#,##0.0</c:formatCode>
                <c:ptCount val="3"/>
                <c:pt idx="0">
                  <c:v>#N/A</c:v>
                </c:pt>
                <c:pt idx="1">
                  <c:v>#N/A</c:v>
                </c:pt>
                <c:pt idx="2">
                  <c:v>#N/A</c:v>
                </c:pt>
              </c:numCache>
            </c:numRef>
          </c:val>
          <c:extLst>
            <c:ext xmlns:c16="http://schemas.microsoft.com/office/drawing/2014/chart" uri="{C3380CC4-5D6E-409C-BE32-E72D297353CC}">
              <c16:uniqueId val="{0000000A-7AA5-4F41-B394-D659CC8D3DFA}"/>
            </c:ext>
          </c:extLst>
        </c:ser>
        <c:ser>
          <c:idx val="5"/>
          <c:order val="5"/>
          <c:tx>
            <c:strRef>
              <c:f>'M5 PV-Anlage'!$D$115</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'M5 PV-Anlage'!$E$115:$G$115</c:f>
              <c:numCache>
                <c:formatCode>#,##0.0</c:formatCode>
                <c:ptCount val="3"/>
                <c:pt idx="0">
                  <c:v>#N/A</c:v>
                </c:pt>
                <c:pt idx="1">
                  <c:v>#N/A</c:v>
                </c:pt>
                <c:pt idx="2">
                  <c:v>#N/A</c:v>
                </c:pt>
              </c:numCache>
            </c:numRef>
          </c:val>
          <c:extLst>
            <c:ext xmlns:c16="http://schemas.microsoft.com/office/drawing/2014/chart" uri="{C3380CC4-5D6E-409C-BE32-E72D297353CC}">
              <c16:uniqueId val="{0000000B-7AA5-4F41-B394-D659CC8D3DFA}"/>
            </c:ext>
          </c:extLst>
        </c:ser>
        <c:ser>
          <c:idx val="6"/>
          <c:order val="6"/>
          <c:tx>
            <c:strRef>
              <c:f>'M5 PV-Anlage'!$D$116</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'M5 PV-Anlage'!$E$116:$G$116</c:f>
              <c:numCache>
                <c:formatCode>#,##0.0</c:formatCode>
                <c:ptCount val="3"/>
                <c:pt idx="0">
                  <c:v>#N/A</c:v>
                </c:pt>
                <c:pt idx="1">
                  <c:v>#N/A</c:v>
                </c:pt>
                <c:pt idx="2">
                  <c:v>#N/A</c:v>
                </c:pt>
              </c:numCache>
            </c:numRef>
          </c:val>
          <c:extLst>
            <c:ext xmlns:c16="http://schemas.microsoft.com/office/drawing/2014/chart" uri="{C3380CC4-5D6E-409C-BE32-E72D297353CC}">
              <c16:uniqueId val="{0000000C-7AA5-4F41-B394-D659CC8D3DFA}"/>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'M5 PV-Anlage'!$L$74</c:f>
              <c:strCache>
                <c:ptCount val="1"/>
                <c:pt idx="0">
                  <c:v>Scope 3</c:v>
                </c:pt>
              </c:strCache>
            </c:strRef>
          </c:tx>
          <c:spPr>
            <a:solidFill>
              <a:schemeClr val="accent3"/>
            </a:solidFill>
            <a:ln>
              <a:noFill/>
            </a:ln>
            <a:effectLst/>
          </c:spPr>
          <c:invertIfNegative val="0"/>
          <c:cat>
            <c:multiLvlStrRef>
              <c:f>'M5 PV-Anlage'!$M$70:$O$71</c:f>
              <c:multiLvlStrCache>
                <c:ptCount val="3"/>
                <c:lvl>
                  <c:pt idx="0">
                    <c:v>Referenz</c:v>
                  </c:pt>
                </c:lvl>
                <c:lvl>
                  <c:pt idx="0">
                    <c:v>2020</c:v>
                  </c:pt>
                  <c:pt idx="1">
                    <c:v>2025</c:v>
                  </c:pt>
                  <c:pt idx="2">
                    <c:v>2030</c:v>
                  </c:pt>
                </c:lvl>
              </c:multiLvlStrCache>
            </c:multiLvlStrRef>
          </c:cat>
          <c:val>
            <c:numRef>
              <c:f>'M5 PV-Anlage'!$M$74:$O$74</c:f>
              <c:numCache>
                <c:formatCode>#,##0</c:formatCode>
                <c:ptCount val="3"/>
                <c:pt idx="0">
                  <c:v>10520.622960446901</c:v>
                </c:pt>
                <c:pt idx="1">
                  <c:v>10510.64046326266</c:v>
                </c:pt>
                <c:pt idx="2">
                  <c:v>10497.228176598141</c:v>
                </c:pt>
              </c:numCache>
            </c:numRef>
          </c:val>
          <c:extLst>
            <c:ext xmlns:c16="http://schemas.microsoft.com/office/drawing/2014/chart" uri="{C3380CC4-5D6E-409C-BE32-E72D297353CC}">
              <c16:uniqueId val="{00000000-548B-4200-9B01-F6EFF212EE23}"/>
            </c:ext>
          </c:extLst>
        </c:ser>
        <c:ser>
          <c:idx val="1"/>
          <c:order val="1"/>
          <c:tx>
            <c:strRef>
              <c:f>'M5 PV-Anlage'!$L$73</c:f>
              <c:strCache>
                <c:ptCount val="1"/>
                <c:pt idx="0">
                  <c:v>Scope 2</c:v>
                </c:pt>
              </c:strCache>
            </c:strRef>
          </c:tx>
          <c:spPr>
            <a:solidFill>
              <a:schemeClr val="accent2"/>
            </a:solidFill>
            <a:ln>
              <a:noFill/>
            </a:ln>
            <a:effectLst/>
          </c:spPr>
          <c:invertIfNegative val="0"/>
          <c:cat>
            <c:multiLvlStrRef>
              <c:f>'M5 PV-Anlage'!$M$70:$O$71</c:f>
              <c:multiLvlStrCache>
                <c:ptCount val="3"/>
                <c:lvl>
                  <c:pt idx="0">
                    <c:v>Referenz</c:v>
                  </c:pt>
                </c:lvl>
                <c:lvl>
                  <c:pt idx="0">
                    <c:v>2020</c:v>
                  </c:pt>
                  <c:pt idx="1">
                    <c:v>2025</c:v>
                  </c:pt>
                  <c:pt idx="2">
                    <c:v>2030</c:v>
                  </c:pt>
                </c:lvl>
              </c:multiLvlStrCache>
            </c:multiLvlStrRef>
          </c:cat>
          <c:val>
            <c:numRef>
              <c:f>'M5 PV-Anlage'!$M$73:$O$73</c:f>
              <c:numCache>
                <c:formatCode>#,##0</c:formatCode>
                <c:ptCount val="3"/>
                <c:pt idx="0">
                  <c:v>286.5</c:v>
                </c:pt>
                <c:pt idx="1">
                  <c:v>180.40020135036377</c:v>
                </c:pt>
                <c:pt idx="2">
                  <c:v>88.909245888826362</c:v>
                </c:pt>
              </c:numCache>
            </c:numRef>
          </c:val>
          <c:extLst>
            <c:ext xmlns:c16="http://schemas.microsoft.com/office/drawing/2014/chart" uri="{C3380CC4-5D6E-409C-BE32-E72D297353CC}">
              <c16:uniqueId val="{00000001-548B-4200-9B01-F6EFF212EE23}"/>
            </c:ext>
          </c:extLst>
        </c:ser>
        <c:ser>
          <c:idx val="0"/>
          <c:order val="2"/>
          <c:tx>
            <c:strRef>
              <c:f>'M5 PV-Anlage'!$L$72</c:f>
              <c:strCache>
                <c:ptCount val="1"/>
                <c:pt idx="0">
                  <c:v>Scope 1 </c:v>
                </c:pt>
              </c:strCache>
            </c:strRef>
          </c:tx>
          <c:spPr>
            <a:solidFill>
              <a:schemeClr val="accent1"/>
            </a:solidFill>
            <a:ln>
              <a:noFill/>
            </a:ln>
            <a:effectLst/>
          </c:spPr>
          <c:invertIfNegative val="0"/>
          <c:cat>
            <c:multiLvlStrRef>
              <c:f>'M5 PV-Anlage'!$M$70:$O$71</c:f>
              <c:multiLvlStrCache>
                <c:ptCount val="3"/>
                <c:lvl>
                  <c:pt idx="0">
                    <c:v>Referenz</c:v>
                  </c:pt>
                </c:lvl>
                <c:lvl>
                  <c:pt idx="0">
                    <c:v>2020</c:v>
                  </c:pt>
                  <c:pt idx="1">
                    <c:v>2025</c:v>
                  </c:pt>
                  <c:pt idx="2">
                    <c:v>2030</c:v>
                  </c:pt>
                </c:lvl>
              </c:multiLvlStrCache>
            </c:multiLvlStrRef>
          </c:cat>
          <c:val>
            <c:numRef>
              <c:f>'M5 PV-Anlage'!$M$72:$O$72</c:f>
              <c:numCache>
                <c:formatCode>#,##0</c:formatCode>
                <c:ptCount val="3"/>
                <c:pt idx="0">
                  <c:v>106.60088015999999</c:v>
                </c:pt>
                <c:pt idx="1">
                  <c:v>106.60088015999999</c:v>
                </c:pt>
                <c:pt idx="2">
                  <c:v>106.60088015999999</c:v>
                </c:pt>
              </c:numCache>
            </c:numRef>
          </c:val>
          <c:extLst>
            <c:ext xmlns:c16="http://schemas.microsoft.com/office/drawing/2014/chart" uri="{C3380CC4-5D6E-409C-BE32-E72D297353CC}">
              <c16:uniqueId val="{00000002-548B-4200-9B01-F6EFF212EE23}"/>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'M5 PV-Anlage'!$T$111</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PV-Anlage'!$U$111:$W$111</c:f>
              <c:numCache>
                <c:formatCode>#,##0\ "€"</c:formatCode>
                <c:ptCount val="3"/>
                <c:pt idx="0">
                  <c:v>172669</c:v>
                </c:pt>
                <c:pt idx="1">
                  <c:v>155469</c:v>
                </c:pt>
                <c:pt idx="2">
                  <c:v>155469</c:v>
                </c:pt>
              </c:numCache>
            </c:numRef>
          </c:val>
          <c:extLst>
            <c:ext xmlns:c16="http://schemas.microsoft.com/office/drawing/2014/chart" uri="{C3380CC4-5D6E-409C-BE32-E72D297353CC}">
              <c16:uniqueId val="{00000000-F627-48B0-B730-B83018ED7868}"/>
            </c:ext>
          </c:extLst>
        </c:ser>
        <c:ser>
          <c:idx val="1"/>
          <c:order val="1"/>
          <c:tx>
            <c:strRef>
              <c:f>'M5 PV-Anlage'!$T$119</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27-48B0-B730-B83018ED7868}"/>
                </c:ext>
              </c:extLst>
            </c:dLbl>
            <c:dLbl>
              <c:idx val="1"/>
              <c:layout>
                <c:manualLayout>
                  <c:x val="0.10261987431833655"/>
                  <c:y val="-4.2873240129449215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27-48B0-B730-B83018ED7868}"/>
                </c:ext>
              </c:extLst>
            </c:dLbl>
            <c:dLbl>
              <c:idx val="2"/>
              <c:layout>
                <c:manualLayout>
                  <c:x val="9.8819138232472167E-2"/>
                  <c:y val="-3.9810865834488555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27-48B0-B730-B83018ED786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PV-Anlage'!$U$119:$W$119</c:f>
              <c:numCache>
                <c:formatCode>#,##0\ "€"</c:formatCode>
                <c:ptCount val="3"/>
                <c:pt idx="0">
                  <c:v>0</c:v>
                </c:pt>
                <c:pt idx="1">
                  <c:v>36000</c:v>
                </c:pt>
                <c:pt idx="2">
                  <c:v>36000</c:v>
                </c:pt>
              </c:numCache>
            </c:numRef>
          </c:val>
          <c:extLst>
            <c:ext xmlns:c16="http://schemas.microsoft.com/office/drawing/2014/chart" uri="{C3380CC4-5D6E-409C-BE32-E72D297353CC}">
              <c16:uniqueId val="{00000002-F627-48B0-B730-B83018ED7868}"/>
            </c:ext>
          </c:extLst>
        </c:ser>
        <c:ser>
          <c:idx val="2"/>
          <c:order val="2"/>
          <c:tx>
            <c:strRef>
              <c:f>'M5 PV-Anlage'!$T$120</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PV-Anlage'!$U$120:$W$120</c:f>
              <c:numCache>
                <c:formatCode>#,##0\ "€"</c:formatCode>
                <c:ptCount val="3"/>
                <c:pt idx="0">
                  <c:v>#N/A</c:v>
                </c:pt>
                <c:pt idx="1">
                  <c:v>#N/A</c:v>
                </c:pt>
                <c:pt idx="2">
                  <c:v>#N/A</c:v>
                </c:pt>
              </c:numCache>
            </c:numRef>
          </c:val>
          <c:extLst>
            <c:ext xmlns:c16="http://schemas.microsoft.com/office/drawing/2014/chart" uri="{C3380CC4-5D6E-409C-BE32-E72D297353CC}">
              <c16:uniqueId val="{00000003-F627-48B0-B730-B83018ED7868}"/>
            </c:ext>
          </c:extLst>
        </c:ser>
        <c:ser>
          <c:idx val="3"/>
          <c:order val="3"/>
          <c:tx>
            <c:strRef>
              <c:f>'M5 PV-Anlage'!$T$121</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PV-Anlage'!$U$121:$W$121</c:f>
              <c:numCache>
                <c:formatCode>#,##0\ "€"</c:formatCode>
                <c:ptCount val="3"/>
                <c:pt idx="0">
                  <c:v>#N/A</c:v>
                </c:pt>
                <c:pt idx="1">
                  <c:v>#N/A</c:v>
                </c:pt>
                <c:pt idx="2">
                  <c:v>#N/A</c:v>
                </c:pt>
              </c:numCache>
            </c:numRef>
          </c:val>
          <c:extLst>
            <c:ext xmlns:c16="http://schemas.microsoft.com/office/drawing/2014/chart" uri="{C3380CC4-5D6E-409C-BE32-E72D297353CC}">
              <c16:uniqueId val="{00000004-F627-48B0-B730-B83018ED7868}"/>
            </c:ext>
          </c:extLst>
        </c:ser>
        <c:ser>
          <c:idx val="4"/>
          <c:order val="4"/>
          <c:tx>
            <c:strRef>
              <c:f>'M5 PV-Anlage'!$T$122</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'M5 PV-Anlage'!$U$122:$W$122</c:f>
              <c:numCache>
                <c:formatCode>#,##0\ "€"</c:formatCode>
                <c:ptCount val="3"/>
                <c:pt idx="0">
                  <c:v>272843.09601517254</c:v>
                </c:pt>
                <c:pt idx="1">
                  <c:v>485893.86951478611</c:v>
                </c:pt>
                <c:pt idx="2">
                  <c:v>855419.06421175739</c:v>
                </c:pt>
              </c:numCache>
            </c:numRef>
          </c:val>
          <c:extLst>
            <c:ext xmlns:c16="http://schemas.microsoft.com/office/drawing/2014/chart" uri="{C3380CC4-5D6E-409C-BE32-E72D297353CC}">
              <c16:uniqueId val="{00000005-F627-48B0-B730-B83018ED786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'M5 PV-Anlage'!$L$111</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A4-42D8-B6C8-FACB110E5AAB}"/>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A4-42D8-B6C8-FACB110E5AAB}"/>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A4-42D8-B6C8-FACB110E5AA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PV-Anlage'!$M$111:$O$111</c:f>
              <c:numCache>
                <c:formatCode>#,##0</c:formatCode>
                <c:ptCount val="3"/>
                <c:pt idx="0">
                  <c:v>60.712972560000004</c:v>
                </c:pt>
                <c:pt idx="1">
                  <c:v>50.730475375760143</c:v>
                </c:pt>
                <c:pt idx="2">
                  <c:v>37.318188711241561</c:v>
                </c:pt>
              </c:numCache>
            </c:numRef>
          </c:val>
          <c:extLst>
            <c:ext xmlns:c16="http://schemas.microsoft.com/office/drawing/2014/chart" uri="{C3380CC4-5D6E-409C-BE32-E72D297353CC}">
              <c16:uniqueId val="{00000003-24A4-42D8-B6C8-FACB110E5AAB}"/>
            </c:ext>
          </c:extLst>
        </c:ser>
        <c:ser>
          <c:idx val="1"/>
          <c:order val="1"/>
          <c:tx>
            <c:strRef>
              <c:f>'M5 PV-Anlage'!$L$112</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A4-42D8-B6C8-FACB110E5AAB}"/>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A4-42D8-B6C8-FACB110E5AAB}"/>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A4-42D8-B6C8-FACB110E5AA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PV-Anlage'!$M$112:$O$112</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24A4-42D8-B6C8-FACB110E5AAB}"/>
            </c:ext>
          </c:extLst>
        </c:ser>
        <c:ser>
          <c:idx val="2"/>
          <c:order val="2"/>
          <c:tx>
            <c:strRef>
              <c:f>'M5 PV-Anlage'!$L$113</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PV-Anlage'!$M$113:$O$113</c:f>
              <c:numCache>
                <c:formatCode>#,##0</c:formatCode>
                <c:ptCount val="3"/>
                <c:pt idx="0">
                  <c:v>7683.24</c:v>
                </c:pt>
                <c:pt idx="1">
                  <c:v>7683.24</c:v>
                </c:pt>
                <c:pt idx="2">
                  <c:v>7683.24</c:v>
                </c:pt>
              </c:numCache>
            </c:numRef>
          </c:val>
          <c:extLst>
            <c:ext xmlns:c16="http://schemas.microsoft.com/office/drawing/2014/chart" uri="{C3380CC4-5D6E-409C-BE32-E72D297353CC}">
              <c16:uniqueId val="{00000008-24A4-42D8-B6C8-FACB110E5AAB}"/>
            </c:ext>
          </c:extLst>
        </c:ser>
        <c:ser>
          <c:idx val="3"/>
          <c:order val="3"/>
          <c:tx>
            <c:strRef>
              <c:f>'M5 PV-Anlage'!$L$114</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A4-42D8-B6C8-FACB110E5AAB}"/>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A4-42D8-B6C8-FACB110E5AAB}"/>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A4-42D8-B6C8-FACB110E5AA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PV-Anlage'!$M$114:$O$114</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24A4-42D8-B6C8-FACB110E5AAB}"/>
            </c:ext>
          </c:extLst>
        </c:ser>
        <c:ser>
          <c:idx val="4"/>
          <c:order val="4"/>
          <c:tx>
            <c:strRef>
              <c:f>'M5 PV-Anlage'!$L$115</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PV-Anlage'!$M$115:$O$115</c:f>
              <c:numCache>
                <c:formatCode>#,##0</c:formatCode>
                <c:ptCount val="3"/>
                <c:pt idx="0">
                  <c:v>1040</c:v>
                </c:pt>
                <c:pt idx="1">
                  <c:v>1040</c:v>
                </c:pt>
                <c:pt idx="2">
                  <c:v>1040</c:v>
                </c:pt>
              </c:numCache>
            </c:numRef>
          </c:val>
          <c:extLst>
            <c:ext xmlns:c16="http://schemas.microsoft.com/office/drawing/2014/chart" uri="{C3380CC4-5D6E-409C-BE32-E72D297353CC}">
              <c16:uniqueId val="{0000000D-24A4-42D8-B6C8-FACB110E5AAB}"/>
            </c:ext>
          </c:extLst>
        </c:ser>
        <c:ser>
          <c:idx val="5"/>
          <c:order val="5"/>
          <c:tx>
            <c:strRef>
              <c:f>'M5 PV-Anlage'!$L$116</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PV-Anlage'!$M$116:$O$116</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24A4-42D8-B6C8-FACB110E5AAB}"/>
            </c:ext>
          </c:extLst>
        </c:ser>
        <c:ser>
          <c:idx val="6"/>
          <c:order val="6"/>
          <c:tx>
            <c:strRef>
              <c:f>'M5 PV-Anlage'!$L$117</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A4-42D8-B6C8-FACB110E5AAB}"/>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4A4-42D8-B6C8-FACB110E5AAB}"/>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4A4-42D8-B6C8-FACB110E5AA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PV-Anlage'!$M$117:$O$117</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24A4-42D8-B6C8-FACB110E5AAB}"/>
            </c:ext>
          </c:extLst>
        </c:ser>
        <c:ser>
          <c:idx val="7"/>
          <c:order val="7"/>
          <c:tx>
            <c:strRef>
              <c:f>'M5 PV-Anlage'!$L$118</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PV-Anlage'!$M$118:$O$118</c:f>
              <c:numCache>
                <c:formatCode>#,##0</c:formatCode>
                <c:ptCount val="3"/>
                <c:pt idx="0">
                  <c:v>#N/A</c:v>
                </c:pt>
                <c:pt idx="1">
                  <c:v>#N/A</c:v>
                </c:pt>
                <c:pt idx="2">
                  <c:v>#N/A</c:v>
                </c:pt>
              </c:numCache>
            </c:numRef>
          </c:val>
          <c:extLst>
            <c:ext xmlns:c16="http://schemas.microsoft.com/office/drawing/2014/chart" uri="{C3380CC4-5D6E-409C-BE32-E72D297353CC}">
              <c16:uniqueId val="{00000013-24A4-42D8-B6C8-FACB110E5AAB}"/>
            </c:ext>
          </c:extLst>
        </c:ser>
        <c:ser>
          <c:idx val="8"/>
          <c:order val="8"/>
          <c:tx>
            <c:strRef>
              <c:f>'M5 PV-Anlage'!$L$119</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PV-Anlage'!$M$119:$O$119</c:f>
              <c:numCache>
                <c:formatCode>#,##0</c:formatCode>
                <c:ptCount val="3"/>
                <c:pt idx="0">
                  <c:v>#N/A</c:v>
                </c:pt>
                <c:pt idx="1">
                  <c:v>#N/A</c:v>
                </c:pt>
                <c:pt idx="2">
                  <c:v>#N/A</c:v>
                </c:pt>
              </c:numCache>
            </c:numRef>
          </c:val>
          <c:extLst>
            <c:ext xmlns:c16="http://schemas.microsoft.com/office/drawing/2014/chart" uri="{C3380CC4-5D6E-409C-BE32-E72D297353CC}">
              <c16:uniqueId val="{00000014-24A4-42D8-B6C8-FACB110E5AAB}"/>
            </c:ext>
          </c:extLst>
        </c:ser>
        <c:ser>
          <c:idx val="9"/>
          <c:order val="9"/>
          <c:tx>
            <c:strRef>
              <c:f>'M5 PV-Anlage'!$L$120</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PV-Anlage'!$M$120:$O$120</c:f>
              <c:numCache>
                <c:formatCode>#,##0</c:formatCode>
                <c:ptCount val="3"/>
                <c:pt idx="0">
                  <c:v>#N/A</c:v>
                </c:pt>
                <c:pt idx="1">
                  <c:v>#N/A</c:v>
                </c:pt>
                <c:pt idx="2">
                  <c:v>#N/A</c:v>
                </c:pt>
              </c:numCache>
            </c:numRef>
          </c:val>
          <c:extLst>
            <c:ext xmlns:c16="http://schemas.microsoft.com/office/drawing/2014/chart" uri="{C3380CC4-5D6E-409C-BE32-E72D297353CC}">
              <c16:uniqueId val="{00000015-24A4-42D8-B6C8-FACB110E5AAB}"/>
            </c:ext>
          </c:extLst>
        </c:ser>
        <c:ser>
          <c:idx val="10"/>
          <c:order val="10"/>
          <c:tx>
            <c:strRef>
              <c:f>'M5 PV-Anlage'!$L$121</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4A4-42D8-B6C8-FACB110E5AAB}"/>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4A4-42D8-B6C8-FACB110E5AAB}"/>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4A4-42D8-B6C8-FACB110E5AA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PV-Anlage'!$M$121:$O$121</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9-24A4-42D8-B6C8-FACB110E5AAB}"/>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'M6 allgemeine Effizienz'!$D$117</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1A-4FF7-B38E-083E4CEAAE39}"/>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1A-4FF7-B38E-083E4CEAAE39}"/>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1A-4FF7-B38E-083E4CEAAE3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Effizienz'!$E$117:$G$117</c:f>
              <c:numCache>
                <c:formatCode>#,##0.0</c:formatCode>
                <c:ptCount val="3"/>
                <c:pt idx="0">
                  <c:v>8.2422000000000004</c:v>
                </c:pt>
                <c:pt idx="1">
                  <c:v>8.2422000000000004</c:v>
                </c:pt>
                <c:pt idx="2">
                  <c:v>8.2422000000000004</c:v>
                </c:pt>
              </c:numCache>
            </c:numRef>
          </c:val>
          <c:extLst>
            <c:ext xmlns:c16="http://schemas.microsoft.com/office/drawing/2014/chart" uri="{C3380CC4-5D6E-409C-BE32-E72D297353CC}">
              <c16:uniqueId val="{00000003-A31A-4FF7-B38E-083E4CEAAE39}"/>
            </c:ext>
          </c:extLst>
        </c:ser>
        <c:ser>
          <c:idx val="1"/>
          <c:order val="1"/>
          <c:tx>
            <c:strRef>
              <c:f>'M6 allgemeine Effizienz'!$D$118</c:f>
              <c:strCache>
                <c:ptCount val="1"/>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1A-4FF7-B38E-083E4CEAAE39}"/>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1A-4FF7-B38E-083E4CEAAE39}"/>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1A-4FF7-B38E-083E4CEAAE3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Effizienz'!$E$118:$G$118</c:f>
              <c:numCache>
                <c:formatCode>#,##0.0</c:formatCode>
                <c:ptCount val="3"/>
                <c:pt idx="0">
                  <c:v>#N/A</c:v>
                </c:pt>
                <c:pt idx="1">
                  <c:v>#N/A</c:v>
                </c:pt>
                <c:pt idx="2">
                  <c:v>#N/A</c:v>
                </c:pt>
              </c:numCache>
            </c:numRef>
          </c:val>
          <c:extLst>
            <c:ext xmlns:c16="http://schemas.microsoft.com/office/drawing/2014/chart" uri="{C3380CC4-5D6E-409C-BE32-E72D297353CC}">
              <c16:uniqueId val="{00000007-A31A-4FF7-B38E-083E4CEAAE39}"/>
            </c:ext>
          </c:extLst>
        </c:ser>
        <c:ser>
          <c:idx val="2"/>
          <c:order val="2"/>
          <c:tx>
            <c:strRef>
              <c:f>'M6 allgemeine Effizienz'!$D$119</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Effizienz'!$E$119:$G$119</c:f>
              <c:numCache>
                <c:formatCode>#,##0.0</c:formatCode>
                <c:ptCount val="3"/>
                <c:pt idx="0">
                  <c:v>#N/A</c:v>
                </c:pt>
                <c:pt idx="1">
                  <c:v>#N/A</c:v>
                </c:pt>
                <c:pt idx="2">
                  <c:v>#N/A</c:v>
                </c:pt>
              </c:numCache>
            </c:numRef>
          </c:val>
          <c:extLst>
            <c:ext xmlns:c16="http://schemas.microsoft.com/office/drawing/2014/chart" uri="{C3380CC4-5D6E-409C-BE32-E72D297353CC}">
              <c16:uniqueId val="{00000008-A31A-4FF7-B38E-083E4CEAAE39}"/>
            </c:ext>
          </c:extLst>
        </c:ser>
        <c:ser>
          <c:idx val="3"/>
          <c:order val="3"/>
          <c:tx>
            <c:strRef>
              <c:f>'M6 allgemeine Effizienz'!$D$123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Effizienz'!$E$123:$G$123</c:f>
              <c:numCache>
                <c:formatCode>#,##0.0</c:formatCode>
                <c:ptCount val="3"/>
                <c:pt idx="0">
                  <c:v>#N/A</c:v>
                </c:pt>
                <c:pt idx="1">
                  <c:v>#N/A</c:v>
                </c:pt>
                <c:pt idx="2">
                  <c:v>#N/A</c:v>
                </c:pt>
              </c:numCache>
            </c:numRef>
          </c:val>
          <c:extLst>
            <c:ext xmlns:c16="http://schemas.microsoft.com/office/drawing/2014/chart" uri="{C3380CC4-5D6E-409C-BE32-E72D297353CC}">
              <c16:uniqueId val="{00000009-A31A-4FF7-B38E-083E4CEAAE39}"/>
            </c:ext>
          </c:extLst>
        </c:ser>
        <c:ser>
          <c:idx val="4"/>
          <c:order val="4"/>
          <c:tx>
            <c:strRef>
              <c:f>'M6 allgemeine Effizienz'!$D$120</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'M6 allgemeine Effizienz'!$E$120:$G$120</c:f>
              <c:numCache>
                <c:formatCode>#,##0.0</c:formatCode>
                <c:ptCount val="3"/>
                <c:pt idx="0">
                  <c:v>#N/A</c:v>
                </c:pt>
                <c:pt idx="1">
                  <c:v>#N/A</c:v>
                </c:pt>
                <c:pt idx="2">
                  <c:v>#N/A</c:v>
                </c:pt>
              </c:numCache>
            </c:numRef>
          </c:val>
          <c:extLst>
            <c:ext xmlns:c16="http://schemas.microsoft.com/office/drawing/2014/chart" uri="{C3380CC4-5D6E-409C-BE32-E72D297353CC}">
              <c16:uniqueId val="{0000000A-A31A-4FF7-B38E-083E4CEAAE39}"/>
            </c:ext>
          </c:extLst>
        </c:ser>
        <c:ser>
          <c:idx val="5"/>
          <c:order val="5"/>
          <c:tx>
            <c:strRef>
              <c:f>'M6 allgemeine Effizienz'!$D$121</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'M6 allgemeine Effizienz'!$E$121:$G$121</c:f>
              <c:numCache>
                <c:formatCode>#,##0.0</c:formatCode>
                <c:ptCount val="3"/>
                <c:pt idx="0">
                  <c:v>#N/A</c:v>
                </c:pt>
                <c:pt idx="1">
                  <c:v>#N/A</c:v>
                </c:pt>
                <c:pt idx="2">
                  <c:v>#N/A</c:v>
                </c:pt>
              </c:numCache>
            </c:numRef>
          </c:val>
          <c:extLst>
            <c:ext xmlns:c16="http://schemas.microsoft.com/office/drawing/2014/chart" uri="{C3380CC4-5D6E-409C-BE32-E72D297353CC}">
              <c16:uniqueId val="{0000000B-A31A-4FF7-B38E-083E4CEAAE39}"/>
            </c:ext>
          </c:extLst>
        </c:ser>
        <c:ser>
          <c:idx val="6"/>
          <c:order val="6"/>
          <c:tx>
            <c:strRef>
              <c:f>'M6 allgemeine Effizienz'!$D$122</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'M6 allgemeine Effizienz'!$E$122:$G$122</c:f>
              <c:numCache>
                <c:formatCode>#,##0.0</c:formatCode>
                <c:ptCount val="3"/>
                <c:pt idx="0">
                  <c:v>#N/A</c:v>
                </c:pt>
                <c:pt idx="1">
                  <c:v>#N/A</c:v>
                </c:pt>
                <c:pt idx="2">
                  <c:v>#N/A</c:v>
                </c:pt>
              </c:numCache>
            </c:numRef>
          </c:val>
          <c:extLst>
            <c:ext xmlns:c16="http://schemas.microsoft.com/office/drawing/2014/chart" uri="{C3380CC4-5D6E-409C-BE32-E72D297353CC}">
              <c16:uniqueId val="{0000000C-A31A-4FF7-B38E-083E4CEAAE39}"/>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'M6 allgemeine Effizienz'!$L$80</c:f>
              <c:strCache>
                <c:ptCount val="1"/>
                <c:pt idx="0">
                  <c:v>Scope 3</c:v>
                </c:pt>
              </c:strCache>
            </c:strRef>
          </c:tx>
          <c:spPr>
            <a:solidFill>
              <a:schemeClr val="accent3"/>
            </a:solidFill>
            <a:ln>
              <a:noFill/>
            </a:ln>
            <a:effectLst/>
          </c:spPr>
          <c:invertIfNegative val="0"/>
          <c:cat>
            <c:multiLvlStrRef>
              <c:f>'M6 allgemeine Effizienz'!$M$76:$O$77</c:f>
              <c:multiLvlStrCache>
                <c:ptCount val="3"/>
                <c:lvl>
                  <c:pt idx="0">
                    <c:v>Referenz</c:v>
                  </c:pt>
                </c:lvl>
                <c:lvl>
                  <c:pt idx="0">
                    <c:v>2020</c:v>
                  </c:pt>
                  <c:pt idx="1">
                    <c:v>2025</c:v>
                  </c:pt>
                  <c:pt idx="2">
                    <c:v>2030</c:v>
                  </c:pt>
                </c:lvl>
              </c:multiLvlStrCache>
            </c:multiLvlStrRef>
          </c:cat>
          <c:val>
            <c:numRef>
              <c:f>'M6 allgemeine Effizienz'!$M$80:$O$80</c:f>
              <c:numCache>
                <c:formatCode>#,##0</c:formatCode>
                <c:ptCount val="3"/>
                <c:pt idx="0">
                  <c:v>10520.622960446901</c:v>
                </c:pt>
                <c:pt idx="1">
                  <c:v>10507.917105104358</c:v>
                </c:pt>
                <c:pt idx="2">
                  <c:v>10493.060418337505</c:v>
                </c:pt>
              </c:numCache>
            </c:numRef>
          </c:val>
          <c:extLst>
            <c:ext xmlns:c16="http://schemas.microsoft.com/office/drawing/2014/chart" uri="{C3380CC4-5D6E-409C-BE32-E72D297353CC}">
              <c16:uniqueId val="{00000000-8B9F-4115-B070-EF1D8C65EB79}"/>
            </c:ext>
          </c:extLst>
        </c:ser>
        <c:ser>
          <c:idx val="1"/>
          <c:order val="1"/>
          <c:tx>
            <c:strRef>
              <c:f>'M6 allgemeine Effizienz'!$L$79</c:f>
              <c:strCache>
                <c:ptCount val="1"/>
                <c:pt idx="0">
                  <c:v>Scope 2</c:v>
                </c:pt>
              </c:strCache>
            </c:strRef>
          </c:tx>
          <c:spPr>
            <a:solidFill>
              <a:schemeClr val="accent2"/>
            </a:solidFill>
            <a:ln>
              <a:noFill/>
            </a:ln>
            <a:effectLst/>
          </c:spPr>
          <c:invertIfNegative val="0"/>
          <c:cat>
            <c:multiLvlStrRef>
              <c:f>'M6 allgemeine Effizienz'!$M$76:$O$77</c:f>
              <c:multiLvlStrCache>
                <c:ptCount val="3"/>
                <c:lvl>
                  <c:pt idx="0">
                    <c:v>Referenz</c:v>
                  </c:pt>
                </c:lvl>
                <c:lvl>
                  <c:pt idx="0">
                    <c:v>2020</c:v>
                  </c:pt>
                  <c:pt idx="1">
                    <c:v>2025</c:v>
                  </c:pt>
                  <c:pt idx="2">
                    <c:v>2030</c:v>
                  </c:pt>
                </c:lvl>
              </c:multiLvlStrCache>
            </c:multiLvlStrRef>
          </c:cat>
          <c:val>
            <c:numRef>
              <c:f>'M6 allgemeine Effizienz'!$M$79:$O$79</c:f>
              <c:numCache>
                <c:formatCode>#,##0</c:formatCode>
                <c:ptCount val="3"/>
                <c:pt idx="0">
                  <c:v>286.5</c:v>
                </c:pt>
                <c:pt idx="1">
                  <c:v>199.82791534194143</c:v>
                </c:pt>
                <c:pt idx="2">
                  <c:v>98.48408775377689</c:v>
                </c:pt>
              </c:numCache>
            </c:numRef>
          </c:val>
          <c:extLst>
            <c:ext xmlns:c16="http://schemas.microsoft.com/office/drawing/2014/chart" uri="{C3380CC4-5D6E-409C-BE32-E72D297353CC}">
              <c16:uniqueId val="{00000001-8B9F-4115-B070-EF1D8C65EB79}"/>
            </c:ext>
          </c:extLst>
        </c:ser>
        <c:ser>
          <c:idx val="0"/>
          <c:order val="2"/>
          <c:tx>
            <c:strRef>
              <c:f>'M6 allgemeine Effizienz'!$L$78</c:f>
              <c:strCache>
                <c:ptCount val="1"/>
                <c:pt idx="0">
                  <c:v>Scope 1 </c:v>
                </c:pt>
              </c:strCache>
            </c:strRef>
          </c:tx>
          <c:spPr>
            <a:solidFill>
              <a:schemeClr val="accent1"/>
            </a:solidFill>
            <a:ln>
              <a:noFill/>
            </a:ln>
            <a:effectLst/>
          </c:spPr>
          <c:invertIfNegative val="0"/>
          <c:cat>
            <c:multiLvlStrRef>
              <c:f>'M6 allgemeine Effizienz'!$M$76:$O$77</c:f>
              <c:multiLvlStrCache>
                <c:ptCount val="3"/>
                <c:lvl>
                  <c:pt idx="0">
                    <c:v>Referenz</c:v>
                  </c:pt>
                </c:lvl>
                <c:lvl>
                  <c:pt idx="0">
                    <c:v>2020</c:v>
                  </c:pt>
                  <c:pt idx="1">
                    <c:v>2025</c:v>
                  </c:pt>
                  <c:pt idx="2">
                    <c:v>2030</c:v>
                  </c:pt>
                </c:lvl>
              </c:multiLvlStrCache>
            </c:multiLvlStrRef>
          </c:cat>
          <c:val>
            <c:numRef>
              <c:f>'M6 allgemeine Effizienz'!$M$78:$O$78</c:f>
              <c:numCache>
                <c:formatCode>#,##0</c:formatCode>
                <c:ptCount val="3"/>
                <c:pt idx="0">
                  <c:v>106.60088015999999</c:v>
                </c:pt>
                <c:pt idx="1">
                  <c:v>106.60088015999999</c:v>
                </c:pt>
                <c:pt idx="2">
                  <c:v>106.60088015999999</c:v>
                </c:pt>
              </c:numCache>
            </c:numRef>
          </c:val>
          <c:extLst>
            <c:ext xmlns:c16="http://schemas.microsoft.com/office/drawing/2014/chart" uri="{C3380CC4-5D6E-409C-BE32-E72D297353CC}">
              <c16:uniqueId val="{00000002-8B9F-4115-B070-EF1D8C65EB79}"/>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'M6 allgemeine Effizienz'!$T$117</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Effizienz'!$U$117:$W$117</c:f>
              <c:numCache>
                <c:formatCode>#,##0\ "€"</c:formatCode>
                <c:ptCount val="3"/>
                <c:pt idx="0">
                  <c:v>172669</c:v>
                </c:pt>
                <c:pt idx="1">
                  <c:v>167509</c:v>
                </c:pt>
                <c:pt idx="2">
                  <c:v>167509</c:v>
                </c:pt>
              </c:numCache>
            </c:numRef>
          </c:val>
          <c:extLst>
            <c:ext xmlns:c16="http://schemas.microsoft.com/office/drawing/2014/chart" uri="{C3380CC4-5D6E-409C-BE32-E72D297353CC}">
              <c16:uniqueId val="{00000000-F718-43BE-80FC-B51D4DFB0D98}"/>
            </c:ext>
          </c:extLst>
        </c:ser>
        <c:ser>
          <c:idx val="1"/>
          <c:order val="1"/>
          <c:tx>
            <c:strRef>
              <c:f>'M6 allgemeine Effizienz'!$T$125</c:f>
              <c:strCache>
                <c:ptCount val="1"/>
                <c:pt idx="0">
                  <c:v>CAPEX</c:v>
                </c:pt>
              </c:strCache>
            </c:strRef>
          </c:tx>
          <c:spPr>
            <a:solidFill>
              <a:schemeClr val="accent1"/>
            </a:solidFill>
            <a:ln>
              <a:noFill/>
            </a:ln>
            <a:effectLst/>
          </c:spPr>
          <c:invertIfNegative val="0"/>
          <c:dLbls>
            <c:dLbl>
              <c:idx val="0"/>
              <c:layout>
                <c:manualLayout>
                  <c:x val="0.10279554613584842"/>
                  <c:y val="-2.7401504855914048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18-43BE-80FC-B51D4DFB0D98}"/>
                </c:ext>
              </c:extLst>
            </c:dLbl>
            <c:dLbl>
              <c:idx val="1"/>
              <c:layout>
                <c:manualLayout>
                  <c:x val="0.10071950627540426"/>
                  <c:y val="-3.9810875434157969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18-43BE-80FC-B51D4DFB0D98}"/>
                </c:ext>
              </c:extLst>
            </c:dLbl>
            <c:dLbl>
              <c:idx val="2"/>
              <c:layout>
                <c:manualLayout>
                  <c:x val="9.6918770189539871E-2"/>
                  <c:y val="-3.6748500400761205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18-43BE-80FC-B51D4DFB0D9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Effizienz'!$U$125:$W$125</c:f>
              <c:numCache>
                <c:formatCode>#,##0\ "€"</c:formatCode>
                <c:ptCount val="3"/>
                <c:pt idx="0">
                  <c:v>0</c:v>
                </c:pt>
                <c:pt idx="1">
                  <c:v>1800</c:v>
                </c:pt>
                <c:pt idx="2">
                  <c:v>1800</c:v>
                </c:pt>
              </c:numCache>
            </c:numRef>
          </c:val>
          <c:extLst>
            <c:ext xmlns:c16="http://schemas.microsoft.com/office/drawing/2014/chart" uri="{C3380CC4-5D6E-409C-BE32-E72D297353CC}">
              <c16:uniqueId val="{00000002-F718-43BE-80FC-B51D4DFB0D98}"/>
            </c:ext>
          </c:extLst>
        </c:ser>
        <c:ser>
          <c:idx val="2"/>
          <c:order val="2"/>
          <c:tx>
            <c:strRef>
              <c:f>'M6 allgemeine Effizienz'!$T$126</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Effizienz'!$U$126:$W$126</c:f>
              <c:numCache>
                <c:formatCode>#,##0\ "€"</c:formatCode>
                <c:ptCount val="3"/>
                <c:pt idx="0">
                  <c:v>#N/A</c:v>
                </c:pt>
                <c:pt idx="1">
                  <c:v>#N/A</c:v>
                </c:pt>
                <c:pt idx="2">
                  <c:v>#N/A</c:v>
                </c:pt>
              </c:numCache>
            </c:numRef>
          </c:val>
          <c:extLst>
            <c:ext xmlns:c16="http://schemas.microsoft.com/office/drawing/2014/chart" uri="{C3380CC4-5D6E-409C-BE32-E72D297353CC}">
              <c16:uniqueId val="{00000003-F718-43BE-80FC-B51D4DFB0D98}"/>
            </c:ext>
          </c:extLst>
        </c:ser>
        <c:ser>
          <c:idx val="3"/>
          <c:order val="3"/>
          <c:tx>
            <c:strRef>
              <c:f>'M6 allgemeine Effizienz'!$T$127</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Effizienz'!$U$127:$W$127</c:f>
              <c:numCache>
                <c:formatCode>#,##0\ "€"</c:formatCode>
                <c:ptCount val="3"/>
                <c:pt idx="0">
                  <c:v>#N/A</c:v>
                </c:pt>
                <c:pt idx="1">
                  <c:v>#N/A</c:v>
                </c:pt>
                <c:pt idx="2">
                  <c:v>#N/A</c:v>
                </c:pt>
              </c:numCache>
            </c:numRef>
          </c:val>
          <c:extLst>
            <c:ext xmlns:c16="http://schemas.microsoft.com/office/drawing/2014/chart" uri="{C3380CC4-5D6E-409C-BE32-E72D297353CC}">
              <c16:uniqueId val="{00000004-F718-43BE-80FC-B51D4DFB0D98}"/>
            </c:ext>
          </c:extLst>
        </c:ser>
        <c:ser>
          <c:idx val="4"/>
          <c:order val="4"/>
          <c:tx>
            <c:strRef>
              <c:f>'M6 allgemeine Effizienz'!$T$128</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'M6 allgemeine Effizienz'!$U$128:$W$128</c:f>
              <c:numCache>
                <c:formatCode>#,##0\ "€"</c:formatCode>
                <c:ptCount val="3"/>
                <c:pt idx="0">
                  <c:v>272843.09601517254</c:v>
                </c:pt>
                <c:pt idx="1">
                  <c:v>486645.56552728347</c:v>
                </c:pt>
                <c:pt idx="2">
                  <c:v>855851.63090010255</c:v>
                </c:pt>
              </c:numCache>
            </c:numRef>
          </c:val>
          <c:extLst>
            <c:ext xmlns:c16="http://schemas.microsoft.com/office/drawing/2014/chart" uri="{C3380CC4-5D6E-409C-BE32-E72D297353CC}">
              <c16:uniqueId val="{00000005-F718-43BE-80FC-B51D4DFB0D9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'M6 allgemeine Effizienz'!$L$117</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0-4E89-B66D-27FB7CDF9A48}"/>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10-4E89-B66D-27FB7CDF9A48}"/>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10-4E89-B66D-27FB7CDF9A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Effizienz'!$M$117:$O$117</c:f>
              <c:numCache>
                <c:formatCode>#,##0</c:formatCode>
                <c:ptCount val="3"/>
                <c:pt idx="0">
                  <c:v>60.712972560000004</c:v>
                </c:pt>
                <c:pt idx="1">
                  <c:v>48.007117217457392</c:v>
                </c:pt>
                <c:pt idx="2">
                  <c:v>33.150430450606038</c:v>
                </c:pt>
              </c:numCache>
            </c:numRef>
          </c:val>
          <c:extLst>
            <c:ext xmlns:c16="http://schemas.microsoft.com/office/drawing/2014/chart" uri="{C3380CC4-5D6E-409C-BE32-E72D297353CC}">
              <c16:uniqueId val="{00000003-6110-4E89-B66D-27FB7CDF9A48}"/>
            </c:ext>
          </c:extLst>
        </c:ser>
        <c:ser>
          <c:idx val="1"/>
          <c:order val="1"/>
          <c:tx>
            <c:strRef>
              <c:f>'M6 allgemeine Effizienz'!$L$118</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10-4E89-B66D-27FB7CDF9A48}"/>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10-4E89-B66D-27FB7CDF9A48}"/>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10-4E89-B66D-27FB7CDF9A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Effizienz'!$M$118:$O$118</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6110-4E89-B66D-27FB7CDF9A48}"/>
            </c:ext>
          </c:extLst>
        </c:ser>
        <c:ser>
          <c:idx val="2"/>
          <c:order val="2"/>
          <c:tx>
            <c:strRef>
              <c:f>'M6 allgemeine Effizienz'!$L$119</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Effizienz'!$M$119:$O$119</c:f>
              <c:numCache>
                <c:formatCode>#,##0</c:formatCode>
                <c:ptCount val="3"/>
                <c:pt idx="0">
                  <c:v>7683.24</c:v>
                </c:pt>
                <c:pt idx="1">
                  <c:v>7683.24</c:v>
                </c:pt>
                <c:pt idx="2">
                  <c:v>7683.24</c:v>
                </c:pt>
              </c:numCache>
            </c:numRef>
          </c:val>
          <c:extLst>
            <c:ext xmlns:c16="http://schemas.microsoft.com/office/drawing/2014/chart" uri="{C3380CC4-5D6E-409C-BE32-E72D297353CC}">
              <c16:uniqueId val="{00000008-6110-4E89-B66D-27FB7CDF9A48}"/>
            </c:ext>
          </c:extLst>
        </c:ser>
        <c:ser>
          <c:idx val="3"/>
          <c:order val="3"/>
          <c:tx>
            <c:strRef>
              <c:f>'M6 allgemeine Effizienz'!$L$120</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10-4E89-B66D-27FB7CDF9A48}"/>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10-4E89-B66D-27FB7CDF9A48}"/>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10-4E89-B66D-27FB7CDF9A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Effizienz'!$M$120:$O$120</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6110-4E89-B66D-27FB7CDF9A48}"/>
            </c:ext>
          </c:extLst>
        </c:ser>
        <c:ser>
          <c:idx val="4"/>
          <c:order val="4"/>
          <c:tx>
            <c:strRef>
              <c:f>'M6 allgemeine Effizienz'!$L$121</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Effizienz'!$M$121:$O$121</c:f>
              <c:numCache>
                <c:formatCode>#,##0</c:formatCode>
                <c:ptCount val="3"/>
                <c:pt idx="0">
                  <c:v>1040</c:v>
                </c:pt>
                <c:pt idx="1">
                  <c:v>1040</c:v>
                </c:pt>
                <c:pt idx="2">
                  <c:v>1040</c:v>
                </c:pt>
              </c:numCache>
            </c:numRef>
          </c:val>
          <c:extLst>
            <c:ext xmlns:c16="http://schemas.microsoft.com/office/drawing/2014/chart" uri="{C3380CC4-5D6E-409C-BE32-E72D297353CC}">
              <c16:uniqueId val="{0000000D-6110-4E89-B66D-27FB7CDF9A48}"/>
            </c:ext>
          </c:extLst>
        </c:ser>
        <c:ser>
          <c:idx val="5"/>
          <c:order val="5"/>
          <c:tx>
            <c:strRef>
              <c:f>'M6 allgemeine Effizienz'!$L$122</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Effizienz'!$M$122:$O$122</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6110-4E89-B66D-27FB7CDF9A48}"/>
            </c:ext>
          </c:extLst>
        </c:ser>
        <c:ser>
          <c:idx val="6"/>
          <c:order val="6"/>
          <c:tx>
            <c:strRef>
              <c:f>'M6 allgemeine Effizienz'!$L$123</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10-4E89-B66D-27FB7CDF9A48}"/>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10-4E89-B66D-27FB7CDF9A48}"/>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10-4E89-B66D-27FB7CDF9A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Effizienz'!$M$123:$O$123</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6110-4E89-B66D-27FB7CDF9A48}"/>
            </c:ext>
          </c:extLst>
        </c:ser>
        <c:ser>
          <c:idx val="7"/>
          <c:order val="7"/>
          <c:tx>
            <c:strRef>
              <c:f>'M6 allgemeine Effizienz'!$L$124</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Effizienz'!$M$124:$O$124</c:f>
              <c:numCache>
                <c:formatCode>#,##0</c:formatCode>
                <c:ptCount val="3"/>
                <c:pt idx="0">
                  <c:v>#N/A</c:v>
                </c:pt>
                <c:pt idx="1">
                  <c:v>#N/A</c:v>
                </c:pt>
                <c:pt idx="2">
                  <c:v>#N/A</c:v>
                </c:pt>
              </c:numCache>
            </c:numRef>
          </c:val>
          <c:extLst>
            <c:ext xmlns:c16="http://schemas.microsoft.com/office/drawing/2014/chart" uri="{C3380CC4-5D6E-409C-BE32-E72D297353CC}">
              <c16:uniqueId val="{00000013-6110-4E89-B66D-27FB7CDF9A48}"/>
            </c:ext>
          </c:extLst>
        </c:ser>
        <c:ser>
          <c:idx val="8"/>
          <c:order val="8"/>
          <c:tx>
            <c:strRef>
              <c:f>'M6 allgemeine Effizienz'!$L$125</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Effizienz'!$M$125:$O$125</c:f>
              <c:numCache>
                <c:formatCode>#,##0</c:formatCode>
                <c:ptCount val="3"/>
                <c:pt idx="0">
                  <c:v>#N/A</c:v>
                </c:pt>
                <c:pt idx="1">
                  <c:v>#N/A</c:v>
                </c:pt>
                <c:pt idx="2">
                  <c:v>#N/A</c:v>
                </c:pt>
              </c:numCache>
            </c:numRef>
          </c:val>
          <c:extLst>
            <c:ext xmlns:c16="http://schemas.microsoft.com/office/drawing/2014/chart" uri="{C3380CC4-5D6E-409C-BE32-E72D297353CC}">
              <c16:uniqueId val="{00000014-6110-4E89-B66D-27FB7CDF9A48}"/>
            </c:ext>
          </c:extLst>
        </c:ser>
        <c:ser>
          <c:idx val="9"/>
          <c:order val="9"/>
          <c:tx>
            <c:strRef>
              <c:f>'M6 allgemeine Effizienz'!$L$126</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Effizienz'!$M$126:$O$126</c:f>
              <c:numCache>
                <c:formatCode>#,##0</c:formatCode>
                <c:ptCount val="3"/>
                <c:pt idx="0">
                  <c:v>#N/A</c:v>
                </c:pt>
                <c:pt idx="1">
                  <c:v>#N/A</c:v>
                </c:pt>
                <c:pt idx="2">
                  <c:v>#N/A</c:v>
                </c:pt>
              </c:numCache>
            </c:numRef>
          </c:val>
          <c:extLst>
            <c:ext xmlns:c16="http://schemas.microsoft.com/office/drawing/2014/chart" uri="{C3380CC4-5D6E-409C-BE32-E72D297353CC}">
              <c16:uniqueId val="{00000015-6110-4E89-B66D-27FB7CDF9A48}"/>
            </c:ext>
          </c:extLst>
        </c:ser>
        <c:ser>
          <c:idx val="10"/>
          <c:order val="10"/>
          <c:tx>
            <c:strRef>
              <c:f>'M6 allgemeine Effizienz'!$L$127</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10-4E89-B66D-27FB7CDF9A48}"/>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10-4E89-B66D-27FB7CDF9A48}"/>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10-4E89-B66D-27FB7CDF9A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Effizienz'!$M$127:$O$127</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9-6110-4E89-B66D-27FB7CDF9A4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'M7 Rezeptur, Einsatzmenge'!$L$92</c:f>
              <c:strCache>
                <c:ptCount val="1"/>
                <c:pt idx="0">
                  <c:v>Scope 3</c:v>
                </c:pt>
              </c:strCache>
            </c:strRef>
          </c:tx>
          <c:spPr>
            <a:solidFill>
              <a:schemeClr val="accent3"/>
            </a:solidFill>
            <a:ln>
              <a:noFill/>
            </a:ln>
            <a:effectLst/>
          </c:spPr>
          <c:invertIfNegative val="0"/>
          <c:cat>
            <c:multiLvlStrRef>
              <c:f>'M7 Rezeptur, Einsatzmenge'!$M$88:$O$89</c:f>
              <c:multiLvlStrCache>
                <c:ptCount val="3"/>
                <c:lvl>
                  <c:pt idx="0">
                    <c:v>Referenz</c:v>
                  </c:pt>
                </c:lvl>
                <c:lvl>
                  <c:pt idx="0">
                    <c:v>2020</c:v>
                  </c:pt>
                  <c:pt idx="1">
                    <c:v>2025</c:v>
                  </c:pt>
                  <c:pt idx="2">
                    <c:v>2030</c:v>
                  </c:pt>
                </c:lvl>
              </c:multiLvlStrCache>
            </c:multiLvlStrRef>
          </c:cat>
          <c:val>
            <c:numRef>
              <c:f>'M7 Rezeptur, Einsatzmenge'!$M$92:$O$92</c:f>
              <c:numCache>
                <c:formatCode>#,##0</c:formatCode>
                <c:ptCount val="3"/>
                <c:pt idx="0">
                  <c:v>10520.622960446901</c:v>
                </c:pt>
                <c:pt idx="1">
                  <c:v>10356.828894465081</c:v>
                </c:pt>
                <c:pt idx="2">
                  <c:v>10112.889979082946</c:v>
                </c:pt>
              </c:numCache>
            </c:numRef>
          </c:val>
          <c:extLst>
            <c:ext xmlns:c16="http://schemas.microsoft.com/office/drawing/2014/chart" uri="{C3380CC4-5D6E-409C-BE32-E72D297353CC}">
              <c16:uniqueId val="{00000000-3CB5-4A58-AE0E-B95BB114F55B}"/>
            </c:ext>
          </c:extLst>
        </c:ser>
        <c:ser>
          <c:idx val="1"/>
          <c:order val="1"/>
          <c:tx>
            <c:strRef>
              <c:f>'M7 Rezeptur, Einsatzmenge'!$L$91</c:f>
              <c:strCache>
                <c:ptCount val="1"/>
                <c:pt idx="0">
                  <c:v>Scope 2</c:v>
                </c:pt>
              </c:strCache>
            </c:strRef>
          </c:tx>
          <c:spPr>
            <a:solidFill>
              <a:schemeClr val="accent2"/>
            </a:solidFill>
            <a:ln>
              <a:noFill/>
            </a:ln>
            <a:effectLst/>
          </c:spPr>
          <c:invertIfNegative val="0"/>
          <c:cat>
            <c:multiLvlStrRef>
              <c:f>'M7 Rezeptur, Einsatzmenge'!$M$88:$O$89</c:f>
              <c:multiLvlStrCache>
                <c:ptCount val="3"/>
                <c:lvl>
                  <c:pt idx="0">
                    <c:v>Referenz</c:v>
                  </c:pt>
                </c:lvl>
                <c:lvl>
                  <c:pt idx="0">
                    <c:v>2020</c:v>
                  </c:pt>
                  <c:pt idx="1">
                    <c:v>2025</c:v>
                  </c:pt>
                  <c:pt idx="2">
                    <c:v>2030</c:v>
                  </c:pt>
                </c:lvl>
              </c:multiLvlStrCache>
            </c:multiLvlStrRef>
          </c:cat>
          <c:val>
            <c:numRef>
              <c:f>'M7 Rezeptur, Einsatzmenge'!$M$91:$O$91</c:f>
              <c:numCache>
                <c:formatCode>#,##0</c:formatCode>
                <c:ptCount val="3"/>
                <c:pt idx="0">
                  <c:v>286.5</c:v>
                </c:pt>
                <c:pt idx="1">
                  <c:v>208.15407848118898</c:v>
                </c:pt>
                <c:pt idx="2">
                  <c:v>102.58759141018427</c:v>
                </c:pt>
              </c:numCache>
            </c:numRef>
          </c:val>
          <c:extLst>
            <c:ext xmlns:c16="http://schemas.microsoft.com/office/drawing/2014/chart" uri="{C3380CC4-5D6E-409C-BE32-E72D297353CC}">
              <c16:uniqueId val="{00000001-3CB5-4A58-AE0E-B95BB114F55B}"/>
            </c:ext>
          </c:extLst>
        </c:ser>
        <c:ser>
          <c:idx val="0"/>
          <c:order val="2"/>
          <c:tx>
            <c:strRef>
              <c:f>'M7 Rezeptur, Einsatzmenge'!$L$90</c:f>
              <c:strCache>
                <c:ptCount val="1"/>
                <c:pt idx="0">
                  <c:v>Scope 1 </c:v>
                </c:pt>
              </c:strCache>
            </c:strRef>
          </c:tx>
          <c:spPr>
            <a:solidFill>
              <a:schemeClr val="accent1"/>
            </a:solidFill>
            <a:ln>
              <a:noFill/>
            </a:ln>
            <a:effectLst/>
          </c:spPr>
          <c:invertIfNegative val="0"/>
          <c:cat>
            <c:multiLvlStrRef>
              <c:f>'M7 Rezeptur, Einsatzmenge'!$M$88:$O$89</c:f>
              <c:multiLvlStrCache>
                <c:ptCount val="3"/>
                <c:lvl>
                  <c:pt idx="0">
                    <c:v>Referenz</c:v>
                  </c:pt>
                </c:lvl>
                <c:lvl>
                  <c:pt idx="0">
                    <c:v>2020</c:v>
                  </c:pt>
                  <c:pt idx="1">
                    <c:v>2025</c:v>
                  </c:pt>
                  <c:pt idx="2">
                    <c:v>2030</c:v>
                  </c:pt>
                </c:lvl>
              </c:multiLvlStrCache>
            </c:multiLvlStrRef>
          </c:cat>
          <c:val>
            <c:numRef>
              <c:f>'M7 Rezeptur, Einsatzmenge'!$M$90:$O$90</c:f>
              <c:numCache>
                <c:formatCode>#,##0</c:formatCode>
                <c:ptCount val="3"/>
                <c:pt idx="0">
                  <c:v>106.60088015999999</c:v>
                </c:pt>
                <c:pt idx="1">
                  <c:v>106.60088015999999</c:v>
                </c:pt>
                <c:pt idx="2">
                  <c:v>106.60088015999999</c:v>
                </c:pt>
              </c:numCache>
            </c:numRef>
          </c:val>
          <c:extLst>
            <c:ext xmlns:c16="http://schemas.microsoft.com/office/drawing/2014/chart" uri="{C3380CC4-5D6E-409C-BE32-E72D297353CC}">
              <c16:uniqueId val="{00000002-3CB5-4A58-AE0E-B95BB114F55B}"/>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'M7 Rezeptur, Einsatzmenge'!$T$129</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Einsatzmenge'!$U$129:$W$129</c:f>
              <c:numCache>
                <c:formatCode>#,##0\ "€"</c:formatCode>
                <c:ptCount val="3"/>
                <c:pt idx="0">
                  <c:v>172669</c:v>
                </c:pt>
                <c:pt idx="1">
                  <c:v>172669</c:v>
                </c:pt>
                <c:pt idx="2">
                  <c:v>172669</c:v>
                </c:pt>
              </c:numCache>
            </c:numRef>
          </c:val>
          <c:extLst>
            <c:ext xmlns:c16="http://schemas.microsoft.com/office/drawing/2014/chart" uri="{C3380CC4-5D6E-409C-BE32-E72D297353CC}">
              <c16:uniqueId val="{00000000-B9C3-48F2-A2C3-75F54B13134A}"/>
            </c:ext>
          </c:extLst>
        </c:ser>
        <c:ser>
          <c:idx val="1"/>
          <c:order val="1"/>
          <c:tx>
            <c:strRef>
              <c:f>'M7 Rezeptur, Einsatzmenge'!$T$137</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C3-48F2-A2C3-75F54B13134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Einsatzmenge'!$U$137:$W$137</c:f>
              <c:numCache>
                <c:formatCode>#,##0\ "€"</c:formatCode>
                <c:ptCount val="3"/>
                <c:pt idx="0">
                  <c:v>0</c:v>
                </c:pt>
                <c:pt idx="1">
                  <c:v>0</c:v>
                </c:pt>
                <c:pt idx="2">
                  <c:v>0</c:v>
                </c:pt>
              </c:numCache>
            </c:numRef>
          </c:val>
          <c:extLst>
            <c:ext xmlns:c16="http://schemas.microsoft.com/office/drawing/2014/chart" uri="{C3380CC4-5D6E-409C-BE32-E72D297353CC}">
              <c16:uniqueId val="{00000002-B9C3-48F2-A2C3-75F54B13134A}"/>
            </c:ext>
          </c:extLst>
        </c:ser>
        <c:ser>
          <c:idx val="2"/>
          <c:order val="2"/>
          <c:tx>
            <c:strRef>
              <c:f>'M7 Rezeptur, Einsatzmenge'!$T$138</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Einsatzmenge'!$U$138:$W$138</c:f>
              <c:numCache>
                <c:formatCode>#,##0\ "€"</c:formatCode>
                <c:ptCount val="3"/>
                <c:pt idx="0">
                  <c:v>#N/A</c:v>
                </c:pt>
                <c:pt idx="1">
                  <c:v>#N/A</c:v>
                </c:pt>
                <c:pt idx="2">
                  <c:v>#N/A</c:v>
                </c:pt>
              </c:numCache>
            </c:numRef>
          </c:val>
          <c:extLst>
            <c:ext xmlns:c16="http://schemas.microsoft.com/office/drawing/2014/chart" uri="{C3380CC4-5D6E-409C-BE32-E72D297353CC}">
              <c16:uniqueId val="{00000003-B9C3-48F2-A2C3-75F54B13134A}"/>
            </c:ext>
          </c:extLst>
        </c:ser>
        <c:ser>
          <c:idx val="3"/>
          <c:order val="3"/>
          <c:tx>
            <c:strRef>
              <c:f>'M7 Rezeptur, Einsatzmenge'!$T$139</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Einsatzmenge'!$U$139:$W$139</c:f>
              <c:numCache>
                <c:formatCode>#,##0\ "€"</c:formatCode>
                <c:ptCount val="3"/>
                <c:pt idx="0">
                  <c:v>#N/A</c:v>
                </c:pt>
                <c:pt idx="1">
                  <c:v>#N/A</c:v>
                </c:pt>
                <c:pt idx="2">
                  <c:v>#N/A</c:v>
                </c:pt>
              </c:numCache>
            </c:numRef>
          </c:val>
          <c:extLst>
            <c:ext xmlns:c16="http://schemas.microsoft.com/office/drawing/2014/chart" uri="{C3380CC4-5D6E-409C-BE32-E72D297353CC}">
              <c16:uniqueId val="{00000004-B9C3-48F2-A2C3-75F54B13134A}"/>
            </c:ext>
          </c:extLst>
        </c:ser>
        <c:ser>
          <c:idx val="4"/>
          <c:order val="4"/>
          <c:tx>
            <c:strRef>
              <c:f>'M7 Rezeptur, Einsatzmenge'!$T$140</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Einsatzmenge'!$U$140:$W$140</c:f>
              <c:numCache>
                <c:formatCode>#,##0\ "€"</c:formatCode>
                <c:ptCount val="3"/>
                <c:pt idx="0">
                  <c:v>272843.09601517254</c:v>
                </c:pt>
                <c:pt idx="1">
                  <c:v>480221.27338978217</c:v>
                </c:pt>
                <c:pt idx="2">
                  <c:v>825766.27605225041</c:v>
                </c:pt>
              </c:numCache>
            </c:numRef>
          </c:val>
          <c:extLst>
            <c:ext xmlns:c16="http://schemas.microsoft.com/office/drawing/2014/chart" uri="{C3380CC4-5D6E-409C-BE32-E72D297353CC}">
              <c16:uniqueId val="{00000005-B9C3-48F2-A2C3-75F54B13134A}"/>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'M7 Rezeptur, Einsatzmenge'!$D$129</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70-4070-87DC-671F9198825A}"/>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70-4070-87DC-671F9198825A}"/>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70-4070-87DC-671F9198825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Einsatzmenge'!$E$129:$G$129</c:f>
              <c:numCache>
                <c:formatCode>#,##0.0</c:formatCode>
                <c:ptCount val="3"/>
                <c:pt idx="0">
                  <c:v>8.2422000000000004</c:v>
                </c:pt>
                <c:pt idx="1">
                  <c:v>8.2422000000000004</c:v>
                </c:pt>
                <c:pt idx="2">
                  <c:v>8.2422000000000004</c:v>
                </c:pt>
              </c:numCache>
            </c:numRef>
          </c:val>
          <c:extLst>
            <c:ext xmlns:c16="http://schemas.microsoft.com/office/drawing/2014/chart" uri="{C3380CC4-5D6E-409C-BE32-E72D297353CC}">
              <c16:uniqueId val="{00000003-DA70-4070-87DC-671F9198825A}"/>
            </c:ext>
          </c:extLst>
        </c:ser>
        <c:ser>
          <c:idx val="1"/>
          <c:order val="1"/>
          <c:tx>
            <c:strRef>
              <c:f>'M7 Rezeptur, Einsatzmenge'!$D$130</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70-4070-87DC-671F9198825A}"/>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70-4070-87DC-671F9198825A}"/>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70-4070-87DC-671F9198825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Einsatzmenge'!$E$130:$G$130</c:f>
              <c:numCache>
                <c:formatCode>#,##0.0</c:formatCode>
                <c:ptCount val="3"/>
                <c:pt idx="0">
                  <c:v>2.6676000000000002</c:v>
                </c:pt>
                <c:pt idx="1">
                  <c:v>2.6676000000000002</c:v>
                </c:pt>
                <c:pt idx="2">
                  <c:v>2.6676000000000002</c:v>
                </c:pt>
              </c:numCache>
            </c:numRef>
          </c:val>
          <c:extLst>
            <c:ext xmlns:c16="http://schemas.microsoft.com/office/drawing/2014/chart" uri="{C3380CC4-5D6E-409C-BE32-E72D297353CC}">
              <c16:uniqueId val="{00000007-DA70-4070-87DC-671F9198825A}"/>
            </c:ext>
          </c:extLst>
        </c:ser>
        <c:ser>
          <c:idx val="2"/>
          <c:order val="2"/>
          <c:tx>
            <c:strRef>
              <c:f>'M7 Rezeptur, Einsatzmenge'!$D$131</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Einsatzmenge'!$E$131:$G$131</c:f>
              <c:numCache>
                <c:formatCode>#,##0.0</c:formatCode>
                <c:ptCount val="3"/>
                <c:pt idx="0">
                  <c:v>286.5</c:v>
                </c:pt>
                <c:pt idx="1">
                  <c:v>208.15407848118898</c:v>
                </c:pt>
                <c:pt idx="2">
                  <c:v>102.58759141018427</c:v>
                </c:pt>
              </c:numCache>
            </c:numRef>
          </c:val>
          <c:extLst>
            <c:ext xmlns:c16="http://schemas.microsoft.com/office/drawing/2014/chart" uri="{C3380CC4-5D6E-409C-BE32-E72D297353CC}">
              <c16:uniqueId val="{00000008-DA70-4070-87DC-671F9198825A}"/>
            </c:ext>
          </c:extLst>
        </c:ser>
        <c:ser>
          <c:idx val="3"/>
          <c:order val="3"/>
          <c:tx>
            <c:strRef>
              <c:f>'M7 Rezeptur, Einsatzmenge'!$D$135</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Einsatzmenge'!$E$135:$G$135</c:f>
              <c:numCache>
                <c:formatCode>#,##0.0</c:formatCode>
                <c:ptCount val="3"/>
                <c:pt idx="0">
                  <c:v>95.691080159999984</c:v>
                </c:pt>
                <c:pt idx="1">
                  <c:v>95.691080159999984</c:v>
                </c:pt>
                <c:pt idx="2">
                  <c:v>95.691080159999984</c:v>
                </c:pt>
              </c:numCache>
            </c:numRef>
          </c:val>
          <c:extLst>
            <c:ext xmlns:c16="http://schemas.microsoft.com/office/drawing/2014/chart" uri="{C3380CC4-5D6E-409C-BE32-E72D297353CC}">
              <c16:uniqueId val="{00000009-DA70-4070-87DC-671F9198825A}"/>
            </c:ext>
          </c:extLst>
        </c:ser>
        <c:ser>
          <c:idx val="4"/>
          <c:order val="4"/>
          <c:tx>
            <c:strRef>
              <c:f>'M7 Rezeptur, Einsatzmenge'!$D$132</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Einsatzmenge'!$E$132:$G$132</c:f>
              <c:numCache>
                <c:formatCode>#,##0.0</c:formatCode>
                <c:ptCount val="3"/>
                <c:pt idx="0">
                  <c:v>#N/A</c:v>
                </c:pt>
                <c:pt idx="1">
                  <c:v>#N/A</c:v>
                </c:pt>
                <c:pt idx="2">
                  <c:v>#N/A</c:v>
                </c:pt>
              </c:numCache>
            </c:numRef>
          </c:val>
          <c:extLst>
            <c:ext xmlns:c16="http://schemas.microsoft.com/office/drawing/2014/chart" uri="{C3380CC4-5D6E-409C-BE32-E72D297353CC}">
              <c16:uniqueId val="{0000000A-DA70-4070-87DC-671F9198825A}"/>
            </c:ext>
          </c:extLst>
        </c:ser>
        <c:ser>
          <c:idx val="5"/>
          <c:order val="5"/>
          <c:tx>
            <c:strRef>
              <c:f>'M7 Rezeptur, Einsatzmenge'!$D$133</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Einsatzmenge'!$E$133:$G$133</c:f>
              <c:numCache>
                <c:formatCode>#,##0.0</c:formatCode>
                <c:ptCount val="3"/>
                <c:pt idx="0">
                  <c:v>#N/A</c:v>
                </c:pt>
                <c:pt idx="1">
                  <c:v>#N/A</c:v>
                </c:pt>
                <c:pt idx="2">
                  <c:v>#N/A</c:v>
                </c:pt>
              </c:numCache>
            </c:numRef>
          </c:val>
          <c:extLst>
            <c:ext xmlns:c16="http://schemas.microsoft.com/office/drawing/2014/chart" uri="{C3380CC4-5D6E-409C-BE32-E72D297353CC}">
              <c16:uniqueId val="{0000000B-DA70-4070-87DC-671F9198825A}"/>
            </c:ext>
          </c:extLst>
        </c:ser>
        <c:ser>
          <c:idx val="6"/>
          <c:order val="6"/>
          <c:tx>
            <c:strRef>
              <c:f>'M7 Rezeptur, Einsatzmenge'!$D$134</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Einsatzmenge'!$E$134:$G$134</c:f>
              <c:numCache>
                <c:formatCode>#,##0.0</c:formatCode>
                <c:ptCount val="3"/>
                <c:pt idx="0">
                  <c:v>#N/A</c:v>
                </c:pt>
                <c:pt idx="1">
                  <c:v>#N/A</c:v>
                </c:pt>
                <c:pt idx="2">
                  <c:v>#N/A</c:v>
                </c:pt>
              </c:numCache>
            </c:numRef>
          </c:val>
          <c:extLst>
            <c:ext xmlns:c16="http://schemas.microsoft.com/office/drawing/2014/chart" uri="{C3380CC4-5D6E-409C-BE32-E72D297353CC}">
              <c16:uniqueId val="{0000000C-DA70-4070-87DC-671F9198825A}"/>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'M7 Rezeptur, Einsatzmenge'!$L$129</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06-4DD3-A0AF-CB9B6E46A9CF}"/>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06-4DD3-A0AF-CB9B6E46A9CF}"/>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06-4DD3-A0AF-CB9B6E46A9C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Einsatzmenge'!$M$129:$O$129</c:f>
              <c:numCache>
                <c:formatCode>#,##0</c:formatCode>
                <c:ptCount val="3"/>
                <c:pt idx="0">
                  <c:v>60.712972560000004</c:v>
                </c:pt>
                <c:pt idx="1">
                  <c:v>49.22770657818478</c:v>
                </c:pt>
                <c:pt idx="2">
                  <c:v>33.751991196047953</c:v>
                </c:pt>
              </c:numCache>
            </c:numRef>
          </c:val>
          <c:extLst>
            <c:ext xmlns:c16="http://schemas.microsoft.com/office/drawing/2014/chart" uri="{C3380CC4-5D6E-409C-BE32-E72D297353CC}">
              <c16:uniqueId val="{00000003-0D06-4DD3-A0AF-CB9B6E46A9CF}"/>
            </c:ext>
          </c:extLst>
        </c:ser>
        <c:ser>
          <c:idx val="1"/>
          <c:order val="1"/>
          <c:tx>
            <c:strRef>
              <c:f>'M7 Rezeptur, Einsatzmenge'!$L$130</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06-4DD3-A0AF-CB9B6E46A9CF}"/>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06-4DD3-A0AF-CB9B6E46A9CF}"/>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06-4DD3-A0AF-CB9B6E46A9C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Einsatzmenge'!$M$130:$O$130</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0D06-4DD3-A0AF-CB9B6E46A9CF}"/>
            </c:ext>
          </c:extLst>
        </c:ser>
        <c:ser>
          <c:idx val="2"/>
          <c:order val="2"/>
          <c:tx>
            <c:strRef>
              <c:f>'M7 Rezeptur, Einsatzmenge'!$L$131</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Einsatzmenge'!$M$131:$O$131</c:f>
              <c:numCache>
                <c:formatCode>#,##0</c:formatCode>
                <c:ptCount val="3"/>
                <c:pt idx="0">
                  <c:v>7683.24</c:v>
                </c:pt>
                <c:pt idx="1">
                  <c:v>7529.5751999999993</c:v>
                </c:pt>
                <c:pt idx="2">
                  <c:v>7299.0780000000004</c:v>
                </c:pt>
              </c:numCache>
            </c:numRef>
          </c:val>
          <c:extLst>
            <c:ext xmlns:c16="http://schemas.microsoft.com/office/drawing/2014/chart" uri="{C3380CC4-5D6E-409C-BE32-E72D297353CC}">
              <c16:uniqueId val="{00000008-0D06-4DD3-A0AF-CB9B6E46A9CF}"/>
            </c:ext>
          </c:extLst>
        </c:ser>
        <c:ser>
          <c:idx val="3"/>
          <c:order val="3"/>
          <c:tx>
            <c:strRef>
              <c:f>'M7 Rezeptur, Einsatzmenge'!$L$132</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06-4DD3-A0AF-CB9B6E46A9CF}"/>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06-4DD3-A0AF-CB9B6E46A9CF}"/>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06-4DD3-A0AF-CB9B6E46A9C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Einsatzmenge'!$M$132:$O$132</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0D06-4DD3-A0AF-CB9B6E46A9CF}"/>
            </c:ext>
          </c:extLst>
        </c:ser>
        <c:ser>
          <c:idx val="4"/>
          <c:order val="4"/>
          <c:tx>
            <c:strRef>
              <c:f>'M7 Rezeptur, Einsatzmenge'!$L$133</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Einsatzmenge'!$M$133:$O$133</c:f>
              <c:numCache>
                <c:formatCode>#,##0</c:formatCode>
                <c:ptCount val="3"/>
                <c:pt idx="0">
                  <c:v>1040</c:v>
                </c:pt>
                <c:pt idx="1">
                  <c:v>1040</c:v>
                </c:pt>
                <c:pt idx="2">
                  <c:v>1040</c:v>
                </c:pt>
              </c:numCache>
            </c:numRef>
          </c:val>
          <c:extLst>
            <c:ext xmlns:c16="http://schemas.microsoft.com/office/drawing/2014/chart" uri="{C3380CC4-5D6E-409C-BE32-E72D297353CC}">
              <c16:uniqueId val="{0000000D-0D06-4DD3-A0AF-CB9B6E46A9CF}"/>
            </c:ext>
          </c:extLst>
        </c:ser>
        <c:ser>
          <c:idx val="5"/>
          <c:order val="5"/>
          <c:tx>
            <c:strRef>
              <c:f>'M7 Rezeptur, Einsatzmenge'!$L$134</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Einsatzmenge'!$M$134:$O$134</c:f>
              <c:numCache>
                <c:formatCode>#,##0</c:formatCode>
                <c:ptCount val="3"/>
                <c:pt idx="0">
                  <c:v>424.19999999999993</c:v>
                </c:pt>
                <c:pt idx="1">
                  <c:v>425.55599999999998</c:v>
                </c:pt>
                <c:pt idx="2">
                  <c:v>427.59</c:v>
                </c:pt>
              </c:numCache>
            </c:numRef>
          </c:val>
          <c:extLst>
            <c:ext xmlns:c16="http://schemas.microsoft.com/office/drawing/2014/chart" uri="{C3380CC4-5D6E-409C-BE32-E72D297353CC}">
              <c16:uniqueId val="{0000000E-0D06-4DD3-A0AF-CB9B6E46A9CF}"/>
            </c:ext>
          </c:extLst>
        </c:ser>
        <c:ser>
          <c:idx val="6"/>
          <c:order val="6"/>
          <c:tx>
            <c:strRef>
              <c:f>'M7 Rezeptur, Einsatzmenge'!$L$135</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06-4DD3-A0AF-CB9B6E46A9CF}"/>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06-4DD3-A0AF-CB9B6E46A9CF}"/>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06-4DD3-A0AF-CB9B6E46A9C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Einsatzmenge'!$M$135:$O$135</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0D06-4DD3-A0AF-CB9B6E46A9CF}"/>
            </c:ext>
          </c:extLst>
        </c:ser>
        <c:ser>
          <c:idx val="11"/>
          <c:order val="7"/>
          <c:tx>
            <c:strRef>
              <c:f>'M7 Rezeptur, Einsatzmenge'!$L$136</c:f>
              <c:strCache>
                <c:ptCount val="1"/>
                <c:pt idx="0">
                  <c:v>Zusätzliche Ersatzstoffe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Einsatzmenge'!$M$136:$O$136</c:f>
              <c:numCache>
                <c:formatCode>#,##0</c:formatCode>
                <c:ptCount val="3"/>
                <c:pt idx="0">
                  <c:v>0</c:v>
                </c:pt>
                <c:pt idx="1">
                  <c:v>0</c:v>
                </c:pt>
                <c:pt idx="2">
                  <c:v>0</c:v>
                </c:pt>
              </c:numCache>
            </c:numRef>
          </c:val>
          <c:extLst>
            <c:ext xmlns:c16="http://schemas.microsoft.com/office/drawing/2014/chart" uri="{C3380CC4-5D6E-409C-BE32-E72D297353CC}">
              <c16:uniqueId val="{0000001A-0D06-4DD3-A0AF-CB9B6E46A9CF}"/>
            </c:ext>
          </c:extLst>
        </c:ser>
        <c:ser>
          <c:idx val="7"/>
          <c:order val="8"/>
          <c:tx>
            <c:strRef>
              <c:f>'M7 Rezeptur, Einsatzmenge'!$L$137</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Einsatzmenge'!$M$137:$O$137</c:f>
              <c:numCache>
                <c:formatCode>#,##0</c:formatCode>
                <c:ptCount val="3"/>
                <c:pt idx="0">
                  <c:v>#N/A</c:v>
                </c:pt>
                <c:pt idx="1">
                  <c:v>#N/A</c:v>
                </c:pt>
                <c:pt idx="2">
                  <c:v>#N/A</c:v>
                </c:pt>
              </c:numCache>
            </c:numRef>
          </c:val>
          <c:extLst>
            <c:ext xmlns:c16="http://schemas.microsoft.com/office/drawing/2014/chart" uri="{C3380CC4-5D6E-409C-BE32-E72D297353CC}">
              <c16:uniqueId val="{00000013-0D06-4DD3-A0AF-CB9B6E46A9CF}"/>
            </c:ext>
          </c:extLst>
        </c:ser>
        <c:ser>
          <c:idx val="8"/>
          <c:order val="9"/>
          <c:tx>
            <c:strRef>
              <c:f>'M7 Rezeptur, Einsatzmenge'!$L$138</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Einsatzmenge'!$M$138:$O$138</c:f>
              <c:numCache>
                <c:formatCode>#,##0</c:formatCode>
                <c:ptCount val="3"/>
                <c:pt idx="0">
                  <c:v>#N/A</c:v>
                </c:pt>
                <c:pt idx="1">
                  <c:v>#N/A</c:v>
                </c:pt>
                <c:pt idx="2">
                  <c:v>#N/A</c:v>
                </c:pt>
              </c:numCache>
            </c:numRef>
          </c:val>
          <c:extLst>
            <c:ext xmlns:c16="http://schemas.microsoft.com/office/drawing/2014/chart" uri="{C3380CC4-5D6E-409C-BE32-E72D297353CC}">
              <c16:uniqueId val="{00000014-0D06-4DD3-A0AF-CB9B6E46A9CF}"/>
            </c:ext>
          </c:extLst>
        </c:ser>
        <c:ser>
          <c:idx val="9"/>
          <c:order val="10"/>
          <c:tx>
            <c:strRef>
              <c:f>'M7 Rezeptur, Einsatzmenge'!$L$139</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Einsatzmenge'!$M$139:$O$139</c:f>
              <c:numCache>
                <c:formatCode>#,##0</c:formatCode>
                <c:ptCount val="3"/>
                <c:pt idx="0">
                  <c:v>#N/A</c:v>
                </c:pt>
                <c:pt idx="1">
                  <c:v>#N/A</c:v>
                </c:pt>
                <c:pt idx="2">
                  <c:v>#N/A</c:v>
                </c:pt>
              </c:numCache>
            </c:numRef>
          </c:val>
          <c:extLst>
            <c:ext xmlns:c16="http://schemas.microsoft.com/office/drawing/2014/chart" uri="{C3380CC4-5D6E-409C-BE32-E72D297353CC}">
              <c16:uniqueId val="{00000015-0D06-4DD3-A0AF-CB9B6E46A9CF}"/>
            </c:ext>
          </c:extLst>
        </c:ser>
        <c:ser>
          <c:idx val="10"/>
          <c:order val="11"/>
          <c:tx>
            <c:strRef>
              <c:f>'M7 Rezeptur, Einsatzmenge'!$L$140</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D06-4DD3-A0AF-CB9B6E46A9CF}"/>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D06-4DD3-A0AF-CB9B6E46A9CF}"/>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D06-4DD3-A0AF-CB9B6E46A9C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Einsatzmenge'!$M$140:$O$140</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9-0D06-4DD3-A0AF-CB9B6E46A9CF}"/>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'M8 Rezeptur, geringerer EF'!$L$89</c:f>
              <c:strCache>
                <c:ptCount val="1"/>
                <c:pt idx="0">
                  <c:v>Scope 3</c:v>
                </c:pt>
              </c:strCache>
            </c:strRef>
          </c:tx>
          <c:spPr>
            <a:solidFill>
              <a:schemeClr val="accent3"/>
            </a:solidFill>
            <a:ln>
              <a:noFill/>
            </a:ln>
            <a:effectLst/>
          </c:spPr>
          <c:invertIfNegative val="0"/>
          <c:cat>
            <c:multiLvlStrRef>
              <c:f>'M8 Rezeptur, geringerer EF'!$M$85:$O$86</c:f>
              <c:multiLvlStrCache>
                <c:ptCount val="3"/>
                <c:lvl>
                  <c:pt idx="0">
                    <c:v>Referenz</c:v>
                  </c:pt>
                </c:lvl>
                <c:lvl>
                  <c:pt idx="0">
                    <c:v>2020</c:v>
                  </c:pt>
                  <c:pt idx="1">
                    <c:v>2025</c:v>
                  </c:pt>
                  <c:pt idx="2">
                    <c:v>2030</c:v>
                  </c:pt>
                </c:lvl>
              </c:multiLvlStrCache>
            </c:multiLvlStrRef>
          </c:cat>
          <c:val>
            <c:numRef>
              <c:f>'M8 Rezeptur, geringerer EF'!$M$89:$O$89</c:f>
              <c:numCache>
                <c:formatCode>#,##0</c:formatCode>
                <c:ptCount val="3"/>
                <c:pt idx="0">
                  <c:v>10520.622960446901</c:v>
                </c:pt>
                <c:pt idx="1">
                  <c:v>10124.975694465084</c:v>
                </c:pt>
                <c:pt idx="2">
                  <c:v>9725.3379790829531</c:v>
                </c:pt>
              </c:numCache>
            </c:numRef>
          </c:val>
          <c:extLst>
            <c:ext xmlns:c16="http://schemas.microsoft.com/office/drawing/2014/chart" uri="{C3380CC4-5D6E-409C-BE32-E72D297353CC}">
              <c16:uniqueId val="{00000000-E69C-4E7E-A434-83EFA64973A0}"/>
            </c:ext>
          </c:extLst>
        </c:ser>
        <c:ser>
          <c:idx val="1"/>
          <c:order val="1"/>
          <c:tx>
            <c:strRef>
              <c:f>'M8 Rezeptur, geringerer EF'!$L$88</c:f>
              <c:strCache>
                <c:ptCount val="1"/>
                <c:pt idx="0">
                  <c:v>Scope 2</c:v>
                </c:pt>
              </c:strCache>
            </c:strRef>
          </c:tx>
          <c:spPr>
            <a:solidFill>
              <a:schemeClr val="accent2"/>
            </a:solidFill>
            <a:ln>
              <a:noFill/>
            </a:ln>
            <a:effectLst/>
          </c:spPr>
          <c:invertIfNegative val="0"/>
          <c:cat>
            <c:multiLvlStrRef>
              <c:f>'M8 Rezeptur, geringerer EF'!$M$85:$O$86</c:f>
              <c:multiLvlStrCache>
                <c:ptCount val="3"/>
                <c:lvl>
                  <c:pt idx="0">
                    <c:v>Referenz</c:v>
                  </c:pt>
                </c:lvl>
                <c:lvl>
                  <c:pt idx="0">
                    <c:v>2020</c:v>
                  </c:pt>
                  <c:pt idx="1">
                    <c:v>2025</c:v>
                  </c:pt>
                  <c:pt idx="2">
                    <c:v>2030</c:v>
                  </c:pt>
                </c:lvl>
              </c:multiLvlStrCache>
            </c:multiLvlStrRef>
          </c:cat>
          <c:val>
            <c:numRef>
              <c:f>'M8 Rezeptur, geringerer EF'!$M$88:$O$88</c:f>
              <c:numCache>
                <c:formatCode>#,##0</c:formatCode>
                <c:ptCount val="3"/>
                <c:pt idx="0">
                  <c:v>286.5</c:v>
                </c:pt>
                <c:pt idx="1">
                  <c:v>208.15407848118898</c:v>
                </c:pt>
                <c:pt idx="2">
                  <c:v>102.58759141018427</c:v>
                </c:pt>
              </c:numCache>
            </c:numRef>
          </c:val>
          <c:extLst>
            <c:ext xmlns:c16="http://schemas.microsoft.com/office/drawing/2014/chart" uri="{C3380CC4-5D6E-409C-BE32-E72D297353CC}">
              <c16:uniqueId val="{00000001-E69C-4E7E-A434-83EFA64973A0}"/>
            </c:ext>
          </c:extLst>
        </c:ser>
        <c:ser>
          <c:idx val="0"/>
          <c:order val="2"/>
          <c:tx>
            <c:strRef>
              <c:f>'M8 Rezeptur, geringerer EF'!$L$87</c:f>
              <c:strCache>
                <c:ptCount val="1"/>
                <c:pt idx="0">
                  <c:v>Scope 1 </c:v>
                </c:pt>
              </c:strCache>
            </c:strRef>
          </c:tx>
          <c:spPr>
            <a:solidFill>
              <a:schemeClr val="accent1"/>
            </a:solidFill>
            <a:ln>
              <a:noFill/>
            </a:ln>
            <a:effectLst/>
          </c:spPr>
          <c:invertIfNegative val="0"/>
          <c:cat>
            <c:multiLvlStrRef>
              <c:f>'M8 Rezeptur, geringerer EF'!$M$85:$O$86</c:f>
              <c:multiLvlStrCache>
                <c:ptCount val="3"/>
                <c:lvl>
                  <c:pt idx="0">
                    <c:v>Referenz</c:v>
                  </c:pt>
                </c:lvl>
                <c:lvl>
                  <c:pt idx="0">
                    <c:v>2020</c:v>
                  </c:pt>
                  <c:pt idx="1">
                    <c:v>2025</c:v>
                  </c:pt>
                  <c:pt idx="2">
                    <c:v>2030</c:v>
                  </c:pt>
                </c:lvl>
              </c:multiLvlStrCache>
            </c:multiLvlStrRef>
          </c:cat>
          <c:val>
            <c:numRef>
              <c:f>'M8 Rezeptur, geringerer EF'!$M$87:$O$87</c:f>
              <c:numCache>
                <c:formatCode>#,##0</c:formatCode>
                <c:ptCount val="3"/>
                <c:pt idx="0">
                  <c:v>106.60088015999999</c:v>
                </c:pt>
                <c:pt idx="1">
                  <c:v>106.60088015999999</c:v>
                </c:pt>
                <c:pt idx="2">
                  <c:v>106.60088015999999</c:v>
                </c:pt>
              </c:numCache>
            </c:numRef>
          </c:val>
          <c:extLst>
            <c:ext xmlns:c16="http://schemas.microsoft.com/office/drawing/2014/chart" uri="{C3380CC4-5D6E-409C-BE32-E72D297353CC}">
              <c16:uniqueId val="{00000002-E69C-4E7E-A434-83EFA64973A0}"/>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'M8 Rezeptur, geringerer EF'!$T$126</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EF'!$U$126:$W$126</c:f>
              <c:numCache>
                <c:formatCode>#,##0\ "€"</c:formatCode>
                <c:ptCount val="3"/>
                <c:pt idx="0">
                  <c:v>172669</c:v>
                </c:pt>
                <c:pt idx="1">
                  <c:v>172669</c:v>
                </c:pt>
                <c:pt idx="2">
                  <c:v>172669</c:v>
                </c:pt>
              </c:numCache>
            </c:numRef>
          </c:val>
          <c:extLst>
            <c:ext xmlns:c16="http://schemas.microsoft.com/office/drawing/2014/chart" uri="{C3380CC4-5D6E-409C-BE32-E72D297353CC}">
              <c16:uniqueId val="{00000000-DF4C-4559-95C4-CB77BD8B0B2A}"/>
            </c:ext>
          </c:extLst>
        </c:ser>
        <c:ser>
          <c:idx val="1"/>
          <c:order val="1"/>
          <c:tx>
            <c:strRef>
              <c:f>'M8 Rezeptur, geringerer EF'!$T$134</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C-4559-95C4-CB77BD8B0B2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EF'!$U$134:$W$134</c:f>
              <c:numCache>
                <c:formatCode>#,##0\ "€"</c:formatCode>
                <c:ptCount val="3"/>
                <c:pt idx="0">
                  <c:v>0</c:v>
                </c:pt>
                <c:pt idx="1">
                  <c:v>0</c:v>
                </c:pt>
                <c:pt idx="2">
                  <c:v>0</c:v>
                </c:pt>
              </c:numCache>
            </c:numRef>
          </c:val>
          <c:extLst>
            <c:ext xmlns:c16="http://schemas.microsoft.com/office/drawing/2014/chart" uri="{C3380CC4-5D6E-409C-BE32-E72D297353CC}">
              <c16:uniqueId val="{00000002-DF4C-4559-95C4-CB77BD8B0B2A}"/>
            </c:ext>
          </c:extLst>
        </c:ser>
        <c:ser>
          <c:idx val="2"/>
          <c:order val="2"/>
          <c:tx>
            <c:strRef>
              <c:f>'M8 Rezeptur, geringerer EF'!$T$135</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EF'!$U$135:$W$135</c:f>
              <c:numCache>
                <c:formatCode>#,##0\ "€"</c:formatCode>
                <c:ptCount val="3"/>
                <c:pt idx="0">
                  <c:v>#N/A</c:v>
                </c:pt>
                <c:pt idx="1">
                  <c:v>#N/A</c:v>
                </c:pt>
                <c:pt idx="2">
                  <c:v>#N/A</c:v>
                </c:pt>
              </c:numCache>
            </c:numRef>
          </c:val>
          <c:extLst>
            <c:ext xmlns:c16="http://schemas.microsoft.com/office/drawing/2014/chart" uri="{C3380CC4-5D6E-409C-BE32-E72D297353CC}">
              <c16:uniqueId val="{00000003-DF4C-4559-95C4-CB77BD8B0B2A}"/>
            </c:ext>
          </c:extLst>
        </c:ser>
        <c:ser>
          <c:idx val="3"/>
          <c:order val="3"/>
          <c:tx>
            <c:strRef>
              <c:f>'M8 Rezeptur, geringerer EF'!$T$136</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EF'!$U$136:$W$136</c:f>
              <c:numCache>
                <c:formatCode>#,##0\ "€"</c:formatCode>
                <c:ptCount val="3"/>
                <c:pt idx="0">
                  <c:v>#N/A</c:v>
                </c:pt>
                <c:pt idx="1">
                  <c:v>#N/A</c:v>
                </c:pt>
                <c:pt idx="2">
                  <c:v>#N/A</c:v>
                </c:pt>
              </c:numCache>
            </c:numRef>
          </c:val>
          <c:extLst>
            <c:ext xmlns:c16="http://schemas.microsoft.com/office/drawing/2014/chart" uri="{C3380CC4-5D6E-409C-BE32-E72D297353CC}">
              <c16:uniqueId val="{00000004-DF4C-4559-95C4-CB77BD8B0B2A}"/>
            </c:ext>
          </c:extLst>
        </c:ser>
        <c:ser>
          <c:idx val="4"/>
          <c:order val="4"/>
          <c:tx>
            <c:strRef>
              <c:f>'M8 Rezeptur, geringerer EF'!$T$137</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EF'!$U$137:$W$137</c:f>
              <c:numCache>
                <c:formatCode>#,##0\ "€"</c:formatCode>
                <c:ptCount val="3"/>
                <c:pt idx="0">
                  <c:v>272843.09601517254</c:v>
                </c:pt>
                <c:pt idx="1">
                  <c:v>469787.87938978226</c:v>
                </c:pt>
                <c:pt idx="2">
                  <c:v>794762.11605225096</c:v>
                </c:pt>
              </c:numCache>
            </c:numRef>
          </c:val>
          <c:extLst>
            <c:ext xmlns:c16="http://schemas.microsoft.com/office/drawing/2014/chart" uri="{C3380CC4-5D6E-409C-BE32-E72D297353CC}">
              <c16:uniqueId val="{00000005-DF4C-4559-95C4-CB77BD8B0B2A}"/>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'M8 Rezeptur, geringerer EF'!$D$126</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E4-4ACC-B4E9-C5B7FB852713}"/>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E4-4ACC-B4E9-C5B7FB852713}"/>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E4-4ACC-B4E9-C5B7FB85271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EF'!$E$126:$G$126</c:f>
              <c:numCache>
                <c:formatCode>#,##0.0</c:formatCode>
                <c:ptCount val="3"/>
                <c:pt idx="0">
                  <c:v>8.2422000000000004</c:v>
                </c:pt>
                <c:pt idx="1">
                  <c:v>8.2422000000000004</c:v>
                </c:pt>
                <c:pt idx="2">
                  <c:v>8.2422000000000004</c:v>
                </c:pt>
              </c:numCache>
            </c:numRef>
          </c:val>
          <c:extLst>
            <c:ext xmlns:c16="http://schemas.microsoft.com/office/drawing/2014/chart" uri="{C3380CC4-5D6E-409C-BE32-E72D297353CC}">
              <c16:uniqueId val="{00000003-93E4-4ACC-B4E9-C5B7FB852713}"/>
            </c:ext>
          </c:extLst>
        </c:ser>
        <c:ser>
          <c:idx val="1"/>
          <c:order val="1"/>
          <c:tx>
            <c:strRef>
              <c:f>'M8 Rezeptur, geringerer EF'!$D$127</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E4-4ACC-B4E9-C5B7FB852713}"/>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E4-4ACC-B4E9-C5B7FB852713}"/>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E4-4ACC-B4E9-C5B7FB85271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EF'!$E$127:$G$127</c:f>
              <c:numCache>
                <c:formatCode>#,##0.0</c:formatCode>
                <c:ptCount val="3"/>
                <c:pt idx="0">
                  <c:v>2.6676000000000002</c:v>
                </c:pt>
                <c:pt idx="1">
                  <c:v>2.6676000000000002</c:v>
                </c:pt>
                <c:pt idx="2">
                  <c:v>2.6676000000000002</c:v>
                </c:pt>
              </c:numCache>
            </c:numRef>
          </c:val>
          <c:extLst>
            <c:ext xmlns:c16="http://schemas.microsoft.com/office/drawing/2014/chart" uri="{C3380CC4-5D6E-409C-BE32-E72D297353CC}">
              <c16:uniqueId val="{00000007-93E4-4ACC-B4E9-C5B7FB852713}"/>
            </c:ext>
          </c:extLst>
        </c:ser>
        <c:ser>
          <c:idx val="2"/>
          <c:order val="2"/>
          <c:tx>
            <c:strRef>
              <c:f>'M8 Rezeptur, geringerer EF'!$D$128</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EF'!$E$128:$G$128</c:f>
              <c:numCache>
                <c:formatCode>#,##0.0</c:formatCode>
                <c:ptCount val="3"/>
                <c:pt idx="0">
                  <c:v>286.5</c:v>
                </c:pt>
                <c:pt idx="1">
                  <c:v>208.15407848118898</c:v>
                </c:pt>
                <c:pt idx="2">
                  <c:v>102.58759141018427</c:v>
                </c:pt>
              </c:numCache>
            </c:numRef>
          </c:val>
          <c:extLst>
            <c:ext xmlns:c16="http://schemas.microsoft.com/office/drawing/2014/chart" uri="{C3380CC4-5D6E-409C-BE32-E72D297353CC}">
              <c16:uniqueId val="{00000008-93E4-4ACC-B4E9-C5B7FB852713}"/>
            </c:ext>
          </c:extLst>
        </c:ser>
        <c:ser>
          <c:idx val="3"/>
          <c:order val="3"/>
          <c:tx>
            <c:strRef>
              <c:f>'M8 Rezeptur, geringerer EF'!$D$132</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EF'!$E$132:$G$132</c:f>
              <c:numCache>
                <c:formatCode>#,##0.0</c:formatCode>
                <c:ptCount val="3"/>
                <c:pt idx="0">
                  <c:v>95.691080159999984</c:v>
                </c:pt>
                <c:pt idx="1">
                  <c:v>95.691080159999984</c:v>
                </c:pt>
                <c:pt idx="2">
                  <c:v>95.691080159999984</c:v>
                </c:pt>
              </c:numCache>
            </c:numRef>
          </c:val>
          <c:extLst>
            <c:ext xmlns:c16="http://schemas.microsoft.com/office/drawing/2014/chart" uri="{C3380CC4-5D6E-409C-BE32-E72D297353CC}">
              <c16:uniqueId val="{00000009-93E4-4ACC-B4E9-C5B7FB852713}"/>
            </c:ext>
          </c:extLst>
        </c:ser>
        <c:ser>
          <c:idx val="4"/>
          <c:order val="4"/>
          <c:tx>
            <c:strRef>
              <c:f>'M8 Rezeptur, geringerer EF'!$D$129</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EF'!$E$129:$G$129</c:f>
              <c:numCache>
                <c:formatCode>#,##0.0</c:formatCode>
                <c:ptCount val="3"/>
                <c:pt idx="0">
                  <c:v>#N/A</c:v>
                </c:pt>
                <c:pt idx="1">
                  <c:v>#N/A</c:v>
                </c:pt>
                <c:pt idx="2">
                  <c:v>#N/A</c:v>
                </c:pt>
              </c:numCache>
            </c:numRef>
          </c:val>
          <c:extLst>
            <c:ext xmlns:c16="http://schemas.microsoft.com/office/drawing/2014/chart" uri="{C3380CC4-5D6E-409C-BE32-E72D297353CC}">
              <c16:uniqueId val="{0000000A-93E4-4ACC-B4E9-C5B7FB852713}"/>
            </c:ext>
          </c:extLst>
        </c:ser>
        <c:ser>
          <c:idx val="5"/>
          <c:order val="5"/>
          <c:tx>
            <c:strRef>
              <c:f>'M8 Rezeptur, geringerer EF'!$D$130</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EF'!$E$130:$G$130</c:f>
              <c:numCache>
                <c:formatCode>#,##0.0</c:formatCode>
                <c:ptCount val="3"/>
                <c:pt idx="0">
                  <c:v>#N/A</c:v>
                </c:pt>
                <c:pt idx="1">
                  <c:v>#N/A</c:v>
                </c:pt>
                <c:pt idx="2">
                  <c:v>#N/A</c:v>
                </c:pt>
              </c:numCache>
            </c:numRef>
          </c:val>
          <c:extLst>
            <c:ext xmlns:c16="http://schemas.microsoft.com/office/drawing/2014/chart" uri="{C3380CC4-5D6E-409C-BE32-E72D297353CC}">
              <c16:uniqueId val="{0000000B-93E4-4ACC-B4E9-C5B7FB852713}"/>
            </c:ext>
          </c:extLst>
        </c:ser>
        <c:ser>
          <c:idx val="6"/>
          <c:order val="6"/>
          <c:tx>
            <c:strRef>
              <c:f>'M8 Rezeptur, geringerer EF'!$D$131</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EF'!$E$131:$G$131</c:f>
              <c:numCache>
                <c:formatCode>#,##0.0</c:formatCode>
                <c:ptCount val="3"/>
                <c:pt idx="0">
                  <c:v>#N/A</c:v>
                </c:pt>
                <c:pt idx="1">
                  <c:v>#N/A</c:v>
                </c:pt>
                <c:pt idx="2">
                  <c:v>#N/A</c:v>
                </c:pt>
              </c:numCache>
            </c:numRef>
          </c:val>
          <c:extLst>
            <c:ext xmlns:c16="http://schemas.microsoft.com/office/drawing/2014/chart" uri="{C3380CC4-5D6E-409C-BE32-E72D297353CC}">
              <c16:uniqueId val="{0000000C-93E4-4ACC-B4E9-C5B7FB852713}"/>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'M8 Rezeptur, geringerer EF'!$L$126</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1E-433F-A58E-154BA272C91C}"/>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1E-433F-A58E-154BA272C91C}"/>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1E-433F-A58E-154BA272C9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EF'!$M$126:$O$126</c:f>
              <c:numCache>
                <c:formatCode>#,##0</c:formatCode>
                <c:ptCount val="3"/>
                <c:pt idx="0">
                  <c:v>60.712972560000004</c:v>
                </c:pt>
                <c:pt idx="1">
                  <c:v>49.22770657818478</c:v>
                </c:pt>
                <c:pt idx="2">
                  <c:v>33.751991196047953</c:v>
                </c:pt>
              </c:numCache>
            </c:numRef>
          </c:val>
          <c:extLst>
            <c:ext xmlns:c16="http://schemas.microsoft.com/office/drawing/2014/chart" uri="{C3380CC4-5D6E-409C-BE32-E72D297353CC}">
              <c16:uniqueId val="{00000003-5B1E-433F-A58E-154BA272C91C}"/>
            </c:ext>
          </c:extLst>
        </c:ser>
        <c:ser>
          <c:idx val="1"/>
          <c:order val="1"/>
          <c:tx>
            <c:strRef>
              <c:f>'M8 Rezeptur, geringerer EF'!$L$127</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1E-433F-A58E-154BA272C91C}"/>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1E-433F-A58E-154BA272C91C}"/>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1E-433F-A58E-154BA272C9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EF'!$M$127:$O$127</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5B1E-433F-A58E-154BA272C91C}"/>
            </c:ext>
          </c:extLst>
        </c:ser>
        <c:ser>
          <c:idx val="2"/>
          <c:order val="2"/>
          <c:tx>
            <c:strRef>
              <c:f>'M8 Rezeptur, geringerer EF'!$L$128</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EF'!$M$128:$O$128</c:f>
              <c:numCache>
                <c:formatCode>#,##0</c:formatCode>
                <c:ptCount val="3"/>
                <c:pt idx="0">
                  <c:v>7683.24</c:v>
                </c:pt>
                <c:pt idx="1">
                  <c:v>7299.0780000000004</c:v>
                </c:pt>
                <c:pt idx="2">
                  <c:v>6914.9160000000002</c:v>
                </c:pt>
              </c:numCache>
            </c:numRef>
          </c:val>
          <c:extLst>
            <c:ext xmlns:c16="http://schemas.microsoft.com/office/drawing/2014/chart" uri="{C3380CC4-5D6E-409C-BE32-E72D297353CC}">
              <c16:uniqueId val="{00000008-5B1E-433F-A58E-154BA272C91C}"/>
            </c:ext>
          </c:extLst>
        </c:ser>
        <c:ser>
          <c:idx val="3"/>
          <c:order val="3"/>
          <c:tx>
            <c:strRef>
              <c:f>'M8 Rezeptur, geringerer EF'!$L$129</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1E-433F-A58E-154BA272C91C}"/>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1E-433F-A58E-154BA272C91C}"/>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1E-433F-A58E-154BA272C9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EF'!$M$129:$O$129</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5B1E-433F-A58E-154BA272C91C}"/>
            </c:ext>
          </c:extLst>
        </c:ser>
        <c:ser>
          <c:idx val="4"/>
          <c:order val="4"/>
          <c:tx>
            <c:strRef>
              <c:f>'M8 Rezeptur, geringerer EF'!$L$130</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EF'!$M$130:$O$130</c:f>
              <c:numCache>
                <c:formatCode>#,##0</c:formatCode>
                <c:ptCount val="3"/>
                <c:pt idx="0">
                  <c:v>1040</c:v>
                </c:pt>
                <c:pt idx="1">
                  <c:v>1040</c:v>
                </c:pt>
                <c:pt idx="2">
                  <c:v>1040</c:v>
                </c:pt>
              </c:numCache>
            </c:numRef>
          </c:val>
          <c:extLst>
            <c:ext xmlns:c16="http://schemas.microsoft.com/office/drawing/2014/chart" uri="{C3380CC4-5D6E-409C-BE32-E72D297353CC}">
              <c16:uniqueId val="{0000000D-5B1E-433F-A58E-154BA272C91C}"/>
            </c:ext>
          </c:extLst>
        </c:ser>
        <c:ser>
          <c:idx val="5"/>
          <c:order val="5"/>
          <c:tx>
            <c:strRef>
              <c:f>'M8 Rezeptur, geringerer EF'!$L$131</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EF'!$M$131:$O$131</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5B1E-433F-A58E-154BA272C91C}"/>
            </c:ext>
          </c:extLst>
        </c:ser>
        <c:ser>
          <c:idx val="6"/>
          <c:order val="6"/>
          <c:tx>
            <c:strRef>
              <c:f>'M8 Rezeptur, geringerer EF'!$L$132</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1E-433F-A58E-154BA272C91C}"/>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1E-433F-A58E-154BA272C91C}"/>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1E-433F-A58E-154BA272C9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EF'!$M$132:$O$132</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5B1E-433F-A58E-154BA272C91C}"/>
            </c:ext>
          </c:extLst>
        </c:ser>
        <c:ser>
          <c:idx val="11"/>
          <c:order val="7"/>
          <c:tx>
            <c:strRef>
              <c:f>'M8 Rezeptur, geringerer EF'!$L$133</c:f>
              <c:strCache>
                <c:ptCount val="1"/>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EF'!$M$133:$O$133</c:f>
              <c:numCache>
                <c:formatCode>#,##0</c:formatCode>
                <c:ptCount val="3"/>
                <c:pt idx="0">
                  <c:v>#N/A</c:v>
                </c:pt>
                <c:pt idx="1">
                  <c:v>#N/A</c:v>
                </c:pt>
                <c:pt idx="2">
                  <c:v>#N/A</c:v>
                </c:pt>
              </c:numCache>
            </c:numRef>
          </c:val>
          <c:extLst>
            <c:ext xmlns:c16="http://schemas.microsoft.com/office/drawing/2014/chart" uri="{C3380CC4-5D6E-409C-BE32-E72D297353CC}">
              <c16:uniqueId val="{00000013-5B1E-433F-A58E-154BA272C91C}"/>
            </c:ext>
          </c:extLst>
        </c:ser>
        <c:ser>
          <c:idx val="7"/>
          <c:order val="8"/>
          <c:tx>
            <c:strRef>
              <c:f>'M8 Rezeptur, geringerer EF'!$L$134</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EF'!$M$134:$O$134</c:f>
              <c:numCache>
                <c:formatCode>#,##0</c:formatCode>
                <c:ptCount val="3"/>
                <c:pt idx="0">
                  <c:v>#N/A</c:v>
                </c:pt>
                <c:pt idx="1">
                  <c:v>#N/A</c:v>
                </c:pt>
                <c:pt idx="2">
                  <c:v>#N/A</c:v>
                </c:pt>
              </c:numCache>
            </c:numRef>
          </c:val>
          <c:extLst>
            <c:ext xmlns:c16="http://schemas.microsoft.com/office/drawing/2014/chart" uri="{C3380CC4-5D6E-409C-BE32-E72D297353CC}">
              <c16:uniqueId val="{00000014-5B1E-433F-A58E-154BA272C91C}"/>
            </c:ext>
          </c:extLst>
        </c:ser>
        <c:ser>
          <c:idx val="8"/>
          <c:order val="9"/>
          <c:tx>
            <c:strRef>
              <c:f>'M8 Rezeptur, geringerer EF'!$L$135</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EF'!$M$135:$O$135</c:f>
              <c:numCache>
                <c:formatCode>#,##0</c:formatCode>
                <c:ptCount val="3"/>
                <c:pt idx="0">
                  <c:v>#N/A</c:v>
                </c:pt>
                <c:pt idx="1">
                  <c:v>#N/A</c:v>
                </c:pt>
                <c:pt idx="2">
                  <c:v>#N/A</c:v>
                </c:pt>
              </c:numCache>
            </c:numRef>
          </c:val>
          <c:extLst>
            <c:ext xmlns:c16="http://schemas.microsoft.com/office/drawing/2014/chart" uri="{C3380CC4-5D6E-409C-BE32-E72D297353CC}">
              <c16:uniqueId val="{00000015-5B1E-433F-A58E-154BA272C91C}"/>
            </c:ext>
          </c:extLst>
        </c:ser>
        <c:ser>
          <c:idx val="9"/>
          <c:order val="10"/>
          <c:tx>
            <c:strRef>
              <c:f>'M8 Rezeptur, geringerer EF'!$L$136</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EF'!$M$136:$O$136</c:f>
              <c:numCache>
                <c:formatCode>#,##0</c:formatCode>
                <c:ptCount val="3"/>
                <c:pt idx="0">
                  <c:v>#N/A</c:v>
                </c:pt>
                <c:pt idx="1">
                  <c:v>#N/A</c:v>
                </c:pt>
                <c:pt idx="2">
                  <c:v>#N/A</c:v>
                </c:pt>
              </c:numCache>
            </c:numRef>
          </c:val>
          <c:extLst>
            <c:ext xmlns:c16="http://schemas.microsoft.com/office/drawing/2014/chart" uri="{C3380CC4-5D6E-409C-BE32-E72D297353CC}">
              <c16:uniqueId val="{00000016-5B1E-433F-A58E-154BA272C91C}"/>
            </c:ext>
          </c:extLst>
        </c:ser>
        <c:ser>
          <c:idx val="10"/>
          <c:order val="11"/>
          <c:tx>
            <c:strRef>
              <c:f>'M8 Rezeptur, geringerer EF'!$L$137</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1E-433F-A58E-154BA272C91C}"/>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1E-433F-A58E-154BA272C91C}"/>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B1E-433F-A58E-154BA272C9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EF'!$M$137:$O$137</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A-5B1E-433F-A58E-154BA272C91C}"/>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'M9 Rezeptur, Recycling'!$L$91</c:f>
              <c:strCache>
                <c:ptCount val="1"/>
                <c:pt idx="0">
                  <c:v>Scope 3</c:v>
                </c:pt>
              </c:strCache>
            </c:strRef>
          </c:tx>
          <c:spPr>
            <a:solidFill>
              <a:schemeClr val="accent3"/>
            </a:solidFill>
            <a:ln>
              <a:noFill/>
            </a:ln>
            <a:effectLst/>
          </c:spPr>
          <c:invertIfNegative val="0"/>
          <c:cat>
            <c:multiLvlStrRef>
              <c:f>'M9 Rezeptur, Recycling'!$M$87:$O$88</c:f>
              <c:multiLvlStrCache>
                <c:ptCount val="3"/>
                <c:lvl>
                  <c:pt idx="0">
                    <c:v>Referenz</c:v>
                  </c:pt>
                </c:lvl>
                <c:lvl>
                  <c:pt idx="0">
                    <c:v>2020</c:v>
                  </c:pt>
                  <c:pt idx="1">
                    <c:v>2025</c:v>
                  </c:pt>
                  <c:pt idx="2">
                    <c:v>2030</c:v>
                  </c:pt>
                </c:lvl>
              </c:multiLvlStrCache>
            </c:multiLvlStrRef>
          </c:cat>
          <c:val>
            <c:numRef>
              <c:f>'M9 Rezeptur, Recycling'!$M$91:$O$91</c:f>
              <c:numCache>
                <c:formatCode>#,##0</c:formatCode>
                <c:ptCount val="3"/>
                <c:pt idx="0">
                  <c:v>10520.622960446901</c:v>
                </c:pt>
                <c:pt idx="1">
                  <c:v>10509.137694465086</c:v>
                </c:pt>
                <c:pt idx="2">
                  <c:v>10493.661979082948</c:v>
                </c:pt>
              </c:numCache>
            </c:numRef>
          </c:val>
          <c:extLst>
            <c:ext xmlns:c16="http://schemas.microsoft.com/office/drawing/2014/chart" uri="{C3380CC4-5D6E-409C-BE32-E72D297353CC}">
              <c16:uniqueId val="{00000000-4559-40B6-9328-07D6BB82BD09}"/>
            </c:ext>
          </c:extLst>
        </c:ser>
        <c:ser>
          <c:idx val="1"/>
          <c:order val="1"/>
          <c:tx>
            <c:strRef>
              <c:f>'M9 Rezeptur, Recycling'!$L$90</c:f>
              <c:strCache>
                <c:ptCount val="1"/>
                <c:pt idx="0">
                  <c:v>Scope 2</c:v>
                </c:pt>
              </c:strCache>
            </c:strRef>
          </c:tx>
          <c:spPr>
            <a:solidFill>
              <a:schemeClr val="accent2"/>
            </a:solidFill>
            <a:ln>
              <a:noFill/>
            </a:ln>
            <a:effectLst/>
          </c:spPr>
          <c:invertIfNegative val="0"/>
          <c:cat>
            <c:multiLvlStrRef>
              <c:f>'M9 Rezeptur, Recycling'!$M$87:$O$88</c:f>
              <c:multiLvlStrCache>
                <c:ptCount val="3"/>
                <c:lvl>
                  <c:pt idx="0">
                    <c:v>Referenz</c:v>
                  </c:pt>
                </c:lvl>
                <c:lvl>
                  <c:pt idx="0">
                    <c:v>2020</c:v>
                  </c:pt>
                  <c:pt idx="1">
                    <c:v>2025</c:v>
                  </c:pt>
                  <c:pt idx="2">
                    <c:v>2030</c:v>
                  </c:pt>
                </c:lvl>
              </c:multiLvlStrCache>
            </c:multiLvlStrRef>
          </c:cat>
          <c:val>
            <c:numRef>
              <c:f>'M9 Rezeptur, Recycling'!$M$90:$O$90</c:f>
              <c:numCache>
                <c:formatCode>#,##0</c:formatCode>
                <c:ptCount val="3"/>
                <c:pt idx="0">
                  <c:v>286.5</c:v>
                </c:pt>
                <c:pt idx="1">
                  <c:v>208.15407848118898</c:v>
                </c:pt>
                <c:pt idx="2">
                  <c:v>102.58759141018427</c:v>
                </c:pt>
              </c:numCache>
            </c:numRef>
          </c:val>
          <c:extLst>
            <c:ext xmlns:c16="http://schemas.microsoft.com/office/drawing/2014/chart" uri="{C3380CC4-5D6E-409C-BE32-E72D297353CC}">
              <c16:uniqueId val="{00000001-4559-40B6-9328-07D6BB82BD09}"/>
            </c:ext>
          </c:extLst>
        </c:ser>
        <c:ser>
          <c:idx val="0"/>
          <c:order val="2"/>
          <c:tx>
            <c:strRef>
              <c:f>'M9 Rezeptur, Recycling'!$L$89</c:f>
              <c:strCache>
                <c:ptCount val="1"/>
                <c:pt idx="0">
                  <c:v>Scope 1 </c:v>
                </c:pt>
              </c:strCache>
            </c:strRef>
          </c:tx>
          <c:spPr>
            <a:solidFill>
              <a:schemeClr val="accent1"/>
            </a:solidFill>
            <a:ln>
              <a:noFill/>
            </a:ln>
            <a:effectLst/>
          </c:spPr>
          <c:invertIfNegative val="0"/>
          <c:cat>
            <c:multiLvlStrRef>
              <c:f>'M9 Rezeptur, Recycling'!$M$87:$O$88</c:f>
              <c:multiLvlStrCache>
                <c:ptCount val="3"/>
                <c:lvl>
                  <c:pt idx="0">
                    <c:v>Referenz</c:v>
                  </c:pt>
                </c:lvl>
                <c:lvl>
                  <c:pt idx="0">
                    <c:v>2020</c:v>
                  </c:pt>
                  <c:pt idx="1">
                    <c:v>2025</c:v>
                  </c:pt>
                  <c:pt idx="2">
                    <c:v>2030</c:v>
                  </c:pt>
                </c:lvl>
              </c:multiLvlStrCache>
            </c:multiLvlStrRef>
          </c:cat>
          <c:val>
            <c:numRef>
              <c:f>'M9 Rezeptur, Recycling'!$M$89:$O$89</c:f>
              <c:numCache>
                <c:formatCode>#,##0</c:formatCode>
                <c:ptCount val="3"/>
                <c:pt idx="0">
                  <c:v>106.60088015999999</c:v>
                </c:pt>
                <c:pt idx="1">
                  <c:v>106.60088015999999</c:v>
                </c:pt>
                <c:pt idx="2">
                  <c:v>106.60088015999999</c:v>
                </c:pt>
              </c:numCache>
            </c:numRef>
          </c:val>
          <c:extLst>
            <c:ext xmlns:c16="http://schemas.microsoft.com/office/drawing/2014/chart" uri="{C3380CC4-5D6E-409C-BE32-E72D297353CC}">
              <c16:uniqueId val="{00000002-4559-40B6-9328-07D6BB82BD09}"/>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'M9 Rezeptur, Recycling'!$T$128</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Recycling'!$U$128:$W$128</c:f>
              <c:numCache>
                <c:formatCode>#,##0\ "€"</c:formatCode>
                <c:ptCount val="3"/>
                <c:pt idx="0">
                  <c:v>172669</c:v>
                </c:pt>
                <c:pt idx="1">
                  <c:v>172669</c:v>
                </c:pt>
                <c:pt idx="2">
                  <c:v>172669</c:v>
                </c:pt>
              </c:numCache>
            </c:numRef>
          </c:val>
          <c:extLst>
            <c:ext xmlns:c16="http://schemas.microsoft.com/office/drawing/2014/chart" uri="{C3380CC4-5D6E-409C-BE32-E72D297353CC}">
              <c16:uniqueId val="{00000000-1333-4C8D-AA6C-5BE06EA53311}"/>
            </c:ext>
          </c:extLst>
        </c:ser>
        <c:ser>
          <c:idx val="1"/>
          <c:order val="1"/>
          <c:tx>
            <c:strRef>
              <c:f>'M9 Rezeptur, Recycling'!$T$136</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33-4C8D-AA6C-5BE06EA5331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Recycling'!$U$136:$W$136</c:f>
              <c:numCache>
                <c:formatCode>#,##0\ "€"</c:formatCode>
                <c:ptCount val="3"/>
                <c:pt idx="0">
                  <c:v>0</c:v>
                </c:pt>
                <c:pt idx="1">
                  <c:v>0</c:v>
                </c:pt>
                <c:pt idx="2">
                  <c:v>0</c:v>
                </c:pt>
              </c:numCache>
            </c:numRef>
          </c:val>
          <c:extLst>
            <c:ext xmlns:c16="http://schemas.microsoft.com/office/drawing/2014/chart" uri="{C3380CC4-5D6E-409C-BE32-E72D297353CC}">
              <c16:uniqueId val="{00000002-1333-4C8D-AA6C-5BE06EA53311}"/>
            </c:ext>
          </c:extLst>
        </c:ser>
        <c:ser>
          <c:idx val="2"/>
          <c:order val="2"/>
          <c:tx>
            <c:strRef>
              <c:f>'M9 Rezeptur, Recycling'!$T$137</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Recycling'!$U$137:$W$137</c:f>
              <c:numCache>
                <c:formatCode>#,##0\ "€"</c:formatCode>
                <c:ptCount val="3"/>
                <c:pt idx="0">
                  <c:v>#N/A</c:v>
                </c:pt>
                <c:pt idx="1">
                  <c:v>#N/A</c:v>
                </c:pt>
                <c:pt idx="2">
                  <c:v>#N/A</c:v>
                </c:pt>
              </c:numCache>
            </c:numRef>
          </c:val>
          <c:extLst>
            <c:ext xmlns:c16="http://schemas.microsoft.com/office/drawing/2014/chart" uri="{C3380CC4-5D6E-409C-BE32-E72D297353CC}">
              <c16:uniqueId val="{00000003-1333-4C8D-AA6C-5BE06EA53311}"/>
            </c:ext>
          </c:extLst>
        </c:ser>
        <c:ser>
          <c:idx val="3"/>
          <c:order val="3"/>
          <c:tx>
            <c:strRef>
              <c:f>'M9 Rezeptur, Recycling'!$T$138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Recycling'!$U$138:$W$138</c:f>
              <c:numCache>
                <c:formatCode>#,##0\ "€"</c:formatCode>
                <c:ptCount val="3"/>
                <c:pt idx="0">
                  <c:v>#N/A</c:v>
                </c:pt>
                <c:pt idx="1">
                  <c:v>#N/A</c:v>
                </c:pt>
                <c:pt idx="2">
                  <c:v>#N/A</c:v>
                </c:pt>
              </c:numCache>
            </c:numRef>
          </c:val>
          <c:extLst>
            <c:ext xmlns:c16="http://schemas.microsoft.com/office/drawing/2014/chart" uri="{C3380CC4-5D6E-409C-BE32-E72D297353CC}">
              <c16:uniqueId val="{00000004-1333-4C8D-AA6C-5BE06EA53311}"/>
            </c:ext>
          </c:extLst>
        </c:ser>
        <c:ser>
          <c:idx val="4"/>
          <c:order val="4"/>
          <c:tx>
            <c:strRef>
              <c:f>'M9 Rezeptur, Recycling'!$T$139</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Recycling'!$U$139:$W$139</c:f>
              <c:numCache>
                <c:formatCode>#,##0\ "€"</c:formatCode>
                <c:ptCount val="3"/>
                <c:pt idx="0">
                  <c:v>272843.09601517254</c:v>
                </c:pt>
                <c:pt idx="1">
                  <c:v>487075.16938978236</c:v>
                </c:pt>
                <c:pt idx="2">
                  <c:v>856228.03605225065</c:v>
                </c:pt>
              </c:numCache>
            </c:numRef>
          </c:val>
          <c:extLst>
            <c:ext xmlns:c16="http://schemas.microsoft.com/office/drawing/2014/chart" uri="{C3380CC4-5D6E-409C-BE32-E72D297353CC}">
              <c16:uniqueId val="{00000005-1333-4C8D-AA6C-5BE06EA53311}"/>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'M9 Rezeptur, Recycling'!$D$128</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AA-41F6-9EF1-8AB56CB21AAD}"/>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AA-41F6-9EF1-8AB56CB21AAD}"/>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AA-41F6-9EF1-8AB56CB21AA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Recycling'!$E$128:$G$128</c:f>
              <c:numCache>
                <c:formatCode>#,##0.0</c:formatCode>
                <c:ptCount val="3"/>
                <c:pt idx="0">
                  <c:v>8.2422000000000004</c:v>
                </c:pt>
                <c:pt idx="1">
                  <c:v>8.2422000000000004</c:v>
                </c:pt>
                <c:pt idx="2">
                  <c:v>8.2422000000000004</c:v>
                </c:pt>
              </c:numCache>
            </c:numRef>
          </c:val>
          <c:extLst>
            <c:ext xmlns:c16="http://schemas.microsoft.com/office/drawing/2014/chart" uri="{C3380CC4-5D6E-409C-BE32-E72D297353CC}">
              <c16:uniqueId val="{00000003-08AA-41F6-9EF1-8AB56CB21AAD}"/>
            </c:ext>
          </c:extLst>
        </c:ser>
        <c:ser>
          <c:idx val="1"/>
          <c:order val="1"/>
          <c:tx>
            <c:strRef>
              <c:f>'M9 Rezeptur, Recycling'!$D$129</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AA-41F6-9EF1-8AB56CB21AAD}"/>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AA-41F6-9EF1-8AB56CB21AAD}"/>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AA-41F6-9EF1-8AB56CB21AA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Recycling'!$E$129:$G$129</c:f>
              <c:numCache>
                <c:formatCode>#,##0.0</c:formatCode>
                <c:ptCount val="3"/>
                <c:pt idx="0">
                  <c:v>2.6676000000000002</c:v>
                </c:pt>
                <c:pt idx="1">
                  <c:v>2.6676000000000002</c:v>
                </c:pt>
                <c:pt idx="2">
                  <c:v>2.6676000000000002</c:v>
                </c:pt>
              </c:numCache>
            </c:numRef>
          </c:val>
          <c:extLst>
            <c:ext xmlns:c16="http://schemas.microsoft.com/office/drawing/2014/chart" uri="{C3380CC4-5D6E-409C-BE32-E72D297353CC}">
              <c16:uniqueId val="{00000007-08AA-41F6-9EF1-8AB56CB21AAD}"/>
            </c:ext>
          </c:extLst>
        </c:ser>
        <c:ser>
          <c:idx val="2"/>
          <c:order val="2"/>
          <c:tx>
            <c:strRef>
              <c:f>'M9 Rezeptur, Recycling'!$D$130</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Recycling'!$E$130:$G$130</c:f>
              <c:numCache>
                <c:formatCode>#,##0.0</c:formatCode>
                <c:ptCount val="3"/>
                <c:pt idx="0">
                  <c:v>286.5</c:v>
                </c:pt>
                <c:pt idx="1">
                  <c:v>208.15407848118898</c:v>
                </c:pt>
                <c:pt idx="2">
                  <c:v>102.58759141018427</c:v>
                </c:pt>
              </c:numCache>
            </c:numRef>
          </c:val>
          <c:extLst>
            <c:ext xmlns:c16="http://schemas.microsoft.com/office/drawing/2014/chart" uri="{C3380CC4-5D6E-409C-BE32-E72D297353CC}">
              <c16:uniqueId val="{00000008-08AA-41F6-9EF1-8AB56CB21AAD}"/>
            </c:ext>
          </c:extLst>
        </c:ser>
        <c:ser>
          <c:idx val="3"/>
          <c:order val="3"/>
          <c:tx>
            <c:strRef>
              <c:f>'M9 Rezeptur, Recycling'!$D$134</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Recycling'!$E$134:$G$134</c:f>
              <c:numCache>
                <c:formatCode>#,##0.0</c:formatCode>
                <c:ptCount val="3"/>
                <c:pt idx="0">
                  <c:v>95.691080159999984</c:v>
                </c:pt>
                <c:pt idx="1">
                  <c:v>95.691080159999984</c:v>
                </c:pt>
                <c:pt idx="2">
                  <c:v>95.691080159999984</c:v>
                </c:pt>
              </c:numCache>
            </c:numRef>
          </c:val>
          <c:extLst>
            <c:ext xmlns:c16="http://schemas.microsoft.com/office/drawing/2014/chart" uri="{C3380CC4-5D6E-409C-BE32-E72D297353CC}">
              <c16:uniqueId val="{00000009-08AA-41F6-9EF1-8AB56CB21AAD}"/>
            </c:ext>
          </c:extLst>
        </c:ser>
        <c:ser>
          <c:idx val="4"/>
          <c:order val="4"/>
          <c:tx>
            <c:strRef>
              <c:f>'M9 Rezeptur, Recycling'!$D$131</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Recycling'!$E$131:$G$131</c:f>
              <c:numCache>
                <c:formatCode>#,##0.0</c:formatCode>
                <c:ptCount val="3"/>
                <c:pt idx="0">
                  <c:v>#N/A</c:v>
                </c:pt>
                <c:pt idx="1">
                  <c:v>#N/A</c:v>
                </c:pt>
                <c:pt idx="2">
                  <c:v>#N/A</c:v>
                </c:pt>
              </c:numCache>
            </c:numRef>
          </c:val>
          <c:extLst>
            <c:ext xmlns:c16="http://schemas.microsoft.com/office/drawing/2014/chart" uri="{C3380CC4-5D6E-409C-BE32-E72D297353CC}">
              <c16:uniqueId val="{0000000A-08AA-41F6-9EF1-8AB56CB21AAD}"/>
            </c:ext>
          </c:extLst>
        </c:ser>
        <c:ser>
          <c:idx val="5"/>
          <c:order val="5"/>
          <c:tx>
            <c:strRef>
              <c:f>'M9 Rezeptur, Recycling'!$D$132</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Recycling'!$E$132:$G$132</c:f>
              <c:numCache>
                <c:formatCode>#,##0.0</c:formatCode>
                <c:ptCount val="3"/>
                <c:pt idx="0">
                  <c:v>#N/A</c:v>
                </c:pt>
                <c:pt idx="1">
                  <c:v>#N/A</c:v>
                </c:pt>
                <c:pt idx="2">
                  <c:v>#N/A</c:v>
                </c:pt>
              </c:numCache>
            </c:numRef>
          </c:val>
          <c:extLst>
            <c:ext xmlns:c16="http://schemas.microsoft.com/office/drawing/2014/chart" uri="{C3380CC4-5D6E-409C-BE32-E72D297353CC}">
              <c16:uniqueId val="{0000000B-08AA-41F6-9EF1-8AB56CB21AAD}"/>
            </c:ext>
          </c:extLst>
        </c:ser>
        <c:ser>
          <c:idx val="6"/>
          <c:order val="6"/>
          <c:tx>
            <c:strRef>
              <c:f>'M9 Rezeptur, Recycling'!$D$133</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Recycling'!$E$133:$G$133</c:f>
              <c:numCache>
                <c:formatCode>#,##0.0</c:formatCode>
                <c:ptCount val="3"/>
                <c:pt idx="0">
                  <c:v>#N/A</c:v>
                </c:pt>
                <c:pt idx="1">
                  <c:v>#N/A</c:v>
                </c:pt>
                <c:pt idx="2">
                  <c:v>#N/A</c:v>
                </c:pt>
              </c:numCache>
            </c:numRef>
          </c:val>
          <c:extLst>
            <c:ext xmlns:c16="http://schemas.microsoft.com/office/drawing/2014/chart" uri="{C3380CC4-5D6E-409C-BE32-E72D297353CC}">
              <c16:uniqueId val="{0000000C-08AA-41F6-9EF1-8AB56CB21AAD}"/>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'M9 Rezeptur, Recycling'!$L$128</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74-4045-B23C-A12D2B1F3835}"/>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4-4045-B23C-A12D2B1F3835}"/>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74-4045-B23C-A12D2B1F383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Recycling'!$M$128:$O$128</c:f>
              <c:numCache>
                <c:formatCode>#,##0</c:formatCode>
                <c:ptCount val="3"/>
                <c:pt idx="0">
                  <c:v>60.712972560000004</c:v>
                </c:pt>
                <c:pt idx="1">
                  <c:v>49.22770657818478</c:v>
                </c:pt>
                <c:pt idx="2">
                  <c:v>33.751991196047953</c:v>
                </c:pt>
              </c:numCache>
            </c:numRef>
          </c:val>
          <c:extLst>
            <c:ext xmlns:c16="http://schemas.microsoft.com/office/drawing/2014/chart" uri="{C3380CC4-5D6E-409C-BE32-E72D297353CC}">
              <c16:uniqueId val="{00000003-F474-4045-B23C-A12D2B1F3835}"/>
            </c:ext>
          </c:extLst>
        </c:ser>
        <c:ser>
          <c:idx val="1"/>
          <c:order val="1"/>
          <c:tx>
            <c:strRef>
              <c:f>'M9 Rezeptur, Recycling'!$L$129</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74-4045-B23C-A12D2B1F3835}"/>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74-4045-B23C-A12D2B1F3835}"/>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74-4045-B23C-A12D2B1F383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Recycling'!$M$129:$O$129</c:f>
              <c:numCache>
                <c:formatCode>#,##0</c:formatCode>
                <c:ptCount val="3"/>
                <c:pt idx="0">
                  <c:v>578.62626120000004</c:v>
                </c:pt>
                <c:pt idx="1">
                  <c:v>578.62626120000004</c:v>
                </c:pt>
                <c:pt idx="2">
                  <c:v>578.62626120000004</c:v>
                </c:pt>
              </c:numCache>
            </c:numRef>
          </c:val>
          <c:extLst>
            <c:ext xmlns:c16="http://schemas.microsoft.com/office/drawing/2014/chart" uri="{C3380CC4-5D6E-409C-BE32-E72D297353CC}">
              <c16:uniqueId val="{00000007-F474-4045-B23C-A12D2B1F3835}"/>
            </c:ext>
          </c:extLst>
        </c:ser>
        <c:ser>
          <c:idx val="2"/>
          <c:order val="2"/>
          <c:tx>
            <c:strRef>
              <c:f>'M9 Rezeptur, Recycling'!$L$130</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Recycling'!$M$130:$O$130</c:f>
              <c:numCache>
                <c:formatCode>#,##0</c:formatCode>
                <c:ptCount val="3"/>
                <c:pt idx="0">
                  <c:v>7683.24</c:v>
                </c:pt>
                <c:pt idx="1">
                  <c:v>7683.24</c:v>
                </c:pt>
                <c:pt idx="2">
                  <c:v>7683.24</c:v>
                </c:pt>
              </c:numCache>
            </c:numRef>
          </c:val>
          <c:extLst>
            <c:ext xmlns:c16="http://schemas.microsoft.com/office/drawing/2014/chart" uri="{C3380CC4-5D6E-409C-BE32-E72D297353CC}">
              <c16:uniqueId val="{00000008-F474-4045-B23C-A12D2B1F3835}"/>
            </c:ext>
          </c:extLst>
        </c:ser>
        <c:ser>
          <c:idx val="3"/>
          <c:order val="3"/>
          <c:tx>
            <c:strRef>
              <c:f>'M9 Rezeptur, Recycling'!$L$131</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74-4045-B23C-A12D2B1F3835}"/>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74-4045-B23C-A12D2B1F3835}"/>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474-4045-B23C-A12D2B1F383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Recycling'!$M$131:$O$131</c:f>
              <c:numCache>
                <c:formatCode>#,##0</c:formatCode>
                <c:ptCount val="3"/>
                <c:pt idx="0">
                  <c:v>387.03000000000003</c:v>
                </c:pt>
                <c:pt idx="1">
                  <c:v>387.03000000000003</c:v>
                </c:pt>
                <c:pt idx="2">
                  <c:v>387.03000000000003</c:v>
                </c:pt>
              </c:numCache>
            </c:numRef>
          </c:val>
          <c:extLst>
            <c:ext xmlns:c16="http://schemas.microsoft.com/office/drawing/2014/chart" uri="{C3380CC4-5D6E-409C-BE32-E72D297353CC}">
              <c16:uniqueId val="{0000000C-F474-4045-B23C-A12D2B1F3835}"/>
            </c:ext>
          </c:extLst>
        </c:ser>
        <c:ser>
          <c:idx val="4"/>
          <c:order val="4"/>
          <c:tx>
            <c:strRef>
              <c:f>'M9 Rezeptur, Recycling'!$L$132</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Recycling'!$M$132:$O$132</c:f>
              <c:numCache>
                <c:formatCode>#,##0</c:formatCode>
                <c:ptCount val="3"/>
                <c:pt idx="0">
                  <c:v>1040</c:v>
                </c:pt>
                <c:pt idx="1">
                  <c:v>1040</c:v>
                </c:pt>
                <c:pt idx="2">
                  <c:v>1040</c:v>
                </c:pt>
              </c:numCache>
            </c:numRef>
          </c:val>
          <c:extLst>
            <c:ext xmlns:c16="http://schemas.microsoft.com/office/drawing/2014/chart" uri="{C3380CC4-5D6E-409C-BE32-E72D297353CC}">
              <c16:uniqueId val="{0000000D-F474-4045-B23C-A12D2B1F3835}"/>
            </c:ext>
          </c:extLst>
        </c:ser>
        <c:ser>
          <c:idx val="5"/>
          <c:order val="5"/>
          <c:tx>
            <c:strRef>
              <c:f>'M9 Rezeptur, Recycling'!$L$133</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Recycling'!$M$133:$O$133</c:f>
              <c:numCache>
                <c:formatCode>#,##0</c:formatCode>
                <c:ptCount val="3"/>
                <c:pt idx="0">
                  <c:v>424.19999999999993</c:v>
                </c:pt>
                <c:pt idx="1">
                  <c:v>424.19999999999993</c:v>
                </c:pt>
                <c:pt idx="2">
                  <c:v>424.19999999999993</c:v>
                </c:pt>
              </c:numCache>
            </c:numRef>
          </c:val>
          <c:extLst>
            <c:ext xmlns:c16="http://schemas.microsoft.com/office/drawing/2014/chart" uri="{C3380CC4-5D6E-409C-BE32-E72D297353CC}">
              <c16:uniqueId val="{0000000E-F474-4045-B23C-A12D2B1F3835}"/>
            </c:ext>
          </c:extLst>
        </c:ser>
        <c:ser>
          <c:idx val="6"/>
          <c:order val="6"/>
          <c:tx>
            <c:strRef>
              <c:f>'M9 Rezeptur, Recycling'!$L$134</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474-4045-B23C-A12D2B1F3835}"/>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74-4045-B23C-A12D2B1F3835}"/>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474-4045-B23C-A12D2B1F383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Recycling'!$M$134:$O$134</c:f>
              <c:numCache>
                <c:formatCode>#,##0</c:formatCode>
                <c:ptCount val="3"/>
                <c:pt idx="0">
                  <c:v>185.55932668689491</c:v>
                </c:pt>
                <c:pt idx="1">
                  <c:v>185.55932668689491</c:v>
                </c:pt>
                <c:pt idx="2">
                  <c:v>185.55932668689491</c:v>
                </c:pt>
              </c:numCache>
            </c:numRef>
          </c:val>
          <c:extLst>
            <c:ext xmlns:c16="http://schemas.microsoft.com/office/drawing/2014/chart" uri="{C3380CC4-5D6E-409C-BE32-E72D297353CC}">
              <c16:uniqueId val="{00000012-F474-4045-B23C-A12D2B1F3835}"/>
            </c:ext>
          </c:extLst>
        </c:ser>
        <c:ser>
          <c:idx val="11"/>
          <c:order val="7"/>
          <c:tx>
            <c:strRef>
              <c:f>'M9 Rezeptur, Recycling'!$L$135</c:f>
              <c:strCache>
                <c:ptCount val="1"/>
                <c:pt idx="0">
                  <c:v>Ersatzstoffe &amp; Recyclingmaterial</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Recycling'!$M$135:$O$135</c:f>
              <c:numCache>
                <c:formatCode>#,##0</c:formatCode>
                <c:ptCount val="3"/>
                <c:pt idx="0">
                  <c:v>0</c:v>
                </c:pt>
                <c:pt idx="1">
                  <c:v>0</c:v>
                </c:pt>
                <c:pt idx="2">
                  <c:v>0</c:v>
                </c:pt>
              </c:numCache>
            </c:numRef>
          </c:val>
          <c:extLst>
            <c:ext xmlns:c16="http://schemas.microsoft.com/office/drawing/2014/chart" uri="{C3380CC4-5D6E-409C-BE32-E72D297353CC}">
              <c16:uniqueId val="{00000013-F474-4045-B23C-A12D2B1F3835}"/>
            </c:ext>
          </c:extLst>
        </c:ser>
        <c:ser>
          <c:idx val="7"/>
          <c:order val="8"/>
          <c:tx>
            <c:strRef>
              <c:f>'M9 Rezeptur, Recycling'!$L$136</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Recycling'!$M$136:$O$136</c:f>
              <c:numCache>
                <c:formatCode>#,##0</c:formatCode>
                <c:ptCount val="3"/>
                <c:pt idx="0">
                  <c:v>#N/A</c:v>
                </c:pt>
                <c:pt idx="1">
                  <c:v>#N/A</c:v>
                </c:pt>
                <c:pt idx="2">
                  <c:v>#N/A</c:v>
                </c:pt>
              </c:numCache>
            </c:numRef>
          </c:val>
          <c:extLst>
            <c:ext xmlns:c16="http://schemas.microsoft.com/office/drawing/2014/chart" uri="{C3380CC4-5D6E-409C-BE32-E72D297353CC}">
              <c16:uniqueId val="{00000014-F474-4045-B23C-A12D2B1F3835}"/>
            </c:ext>
          </c:extLst>
        </c:ser>
        <c:ser>
          <c:idx val="8"/>
          <c:order val="9"/>
          <c:tx>
            <c:strRef>
              <c:f>'M9 Rezeptur, Recycling'!$L$137</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Recycling'!$M$137:$O$137</c:f>
              <c:numCache>
                <c:formatCode>#,##0</c:formatCode>
                <c:ptCount val="3"/>
                <c:pt idx="0">
                  <c:v>#N/A</c:v>
                </c:pt>
                <c:pt idx="1">
                  <c:v>#N/A</c:v>
                </c:pt>
                <c:pt idx="2">
                  <c:v>#N/A</c:v>
                </c:pt>
              </c:numCache>
            </c:numRef>
          </c:val>
          <c:extLst>
            <c:ext xmlns:c16="http://schemas.microsoft.com/office/drawing/2014/chart" uri="{C3380CC4-5D6E-409C-BE32-E72D297353CC}">
              <c16:uniqueId val="{00000015-F474-4045-B23C-A12D2B1F3835}"/>
            </c:ext>
          </c:extLst>
        </c:ser>
        <c:ser>
          <c:idx val="9"/>
          <c:order val="10"/>
          <c:tx>
            <c:strRef>
              <c:f>'M9 Rezeptur, Recycling'!$L$138</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Recycling'!$M$138:$O$138</c:f>
              <c:numCache>
                <c:formatCode>#,##0</c:formatCode>
                <c:ptCount val="3"/>
                <c:pt idx="0">
                  <c:v>#N/A</c:v>
                </c:pt>
                <c:pt idx="1">
                  <c:v>#N/A</c:v>
                </c:pt>
                <c:pt idx="2">
                  <c:v>#N/A</c:v>
                </c:pt>
              </c:numCache>
            </c:numRef>
          </c:val>
          <c:extLst>
            <c:ext xmlns:c16="http://schemas.microsoft.com/office/drawing/2014/chart" uri="{C3380CC4-5D6E-409C-BE32-E72D297353CC}">
              <c16:uniqueId val="{00000016-F474-4045-B23C-A12D2B1F3835}"/>
            </c:ext>
          </c:extLst>
        </c:ser>
        <c:ser>
          <c:idx val="10"/>
          <c:order val="11"/>
          <c:tx>
            <c:strRef>
              <c:f>'M9 Rezeptur, Recycling'!$L$139</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474-4045-B23C-A12D2B1F3835}"/>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474-4045-B23C-A12D2B1F3835}"/>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474-4045-B23C-A12D2B1F383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Recycling'!$M$139:$O$139</c:f>
              <c:numCache>
                <c:formatCode>#,##0</c:formatCode>
                <c:ptCount val="3"/>
                <c:pt idx="0">
                  <c:v>161.20000000000002</c:v>
                </c:pt>
                <c:pt idx="1">
                  <c:v>161.20000000000002</c:v>
                </c:pt>
                <c:pt idx="2">
                  <c:v>161.20000000000002</c:v>
                </c:pt>
              </c:numCache>
            </c:numRef>
          </c:val>
          <c:extLst>
            <c:ext xmlns:c16="http://schemas.microsoft.com/office/drawing/2014/chart" uri="{C3380CC4-5D6E-409C-BE32-E72D297353CC}">
              <c16:uniqueId val="{0000001A-F474-4045-B23C-A12D2B1F3835}"/>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8.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8.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9.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0.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6.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8.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9.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0.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6.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trlProps/ctrlProp1.xml><?xml version="1.0" encoding="utf-8"?>
<formControlPr xmlns="http://schemas.microsoft.com/office/spreadsheetml/2009/9/main" objectType="CheckBox" fmlaLink="$I$112" lockText="1" noThreeD="1"/>
</file>

<file path=xl/ctrlProps/ctrlProp2.xml><?xml version="1.0" encoding="utf-8"?>
<formControlPr xmlns="http://schemas.microsoft.com/office/spreadsheetml/2009/9/main" objectType="CheckBox" checked="Checked" fmlaLink="$I$113" lockText="1" noThreeD="1"/>
</file>

<file path=xl/ctrlProps/ctrlProp3.xml><?xml version="1.0" encoding="utf-8"?>
<formControlPr xmlns="http://schemas.microsoft.com/office/spreadsheetml/2009/9/main" objectType="CheckBox" fmlaLink="$I$114" lockText="1" noThreeD="1"/>
</file>

<file path=xl/ctrlProps/ctrlProp4.xml><?xml version="1.0" encoding="utf-8"?>
<formControlPr xmlns="http://schemas.microsoft.com/office/spreadsheetml/2009/9/main" objectType="CheckBox" fmlaLink="$I$115" lockText="1" noThreeD="1"/>
</file>

<file path=xl/ctrlProps/ctrlProp5.xml><?xml version="1.0" encoding="utf-8"?>
<formControlPr xmlns="http://schemas.microsoft.com/office/spreadsheetml/2009/9/main" objectType="CheckBox" fmlaLink="$I$116" lockText="1" noThreeD="1"/>
</file>

<file path=xl/ctrlProps/ctrlProp6.xml><?xml version="1.0" encoding="utf-8"?>
<formControlPr xmlns="http://schemas.microsoft.com/office/spreadsheetml/2009/9/main" objectType="CheckBox" fmlaLink="$I$117" lockText="1" noThreeD="1"/>
</file>

<file path=xl/ctrlProps/ctrlProp7.xml><?xml version="1.0" encoding="utf-8"?>
<formControlPr xmlns="http://schemas.microsoft.com/office/spreadsheetml/2009/9/main" objectType="CheckBox" checked="Checked" fmlaLink="$X$122" lockText="1" noThreeD="1"/>
</file>

<file path=xl/ctrlProps/ctrlProp8.xml><?xml version="1.0" encoding="utf-8"?>
<formControlPr xmlns="http://schemas.microsoft.com/office/spreadsheetml/2009/9/main" objectType="CheckBox" checked="Checked" fmlaLink="$X$123" lockText="1" noThreeD="1"/>
</file>

<file path=xl/ctrlProps/ctrlProp9.xml><?xml version="1.0" encoding="utf-8"?>
<formControlPr xmlns="http://schemas.microsoft.com/office/spreadsheetml/2009/9/main" objectType="CheckBox" checked="Checked" fmlaLink="$X$124" lockText="1" noThreeD="1"/>
</file>

<file path=xl/ctrlProps/ctrlProp10.xml><?xml version="1.0" encoding="utf-8"?>
<formControlPr xmlns="http://schemas.microsoft.com/office/spreadsheetml/2009/9/main" objectType="CheckBox" checked="Checked" fmlaLink="$X$125" lockText="1" noThreeD="1"/>
</file>

<file path=xl/ctrlProps/ctrlProp11.xml><?xml version="1.0" encoding="utf-8"?>
<formControlPr xmlns="http://schemas.microsoft.com/office/spreadsheetml/2009/9/main" objectType="CheckBox" checked="Checked" fmlaLink="$X$120" lockText="1" noThreeD="1"/>
</file>

<file path=xl/ctrlProps/ctrlProp12.xml><?xml version="1.0" encoding="utf-8"?>
<formControlPr xmlns="http://schemas.microsoft.com/office/spreadsheetml/2009/9/main" objectType="CheckBox" checked="Checked" fmlaLink="$X$119" lockText="1" noThreeD="1"/>
</file>

<file path=xl/ctrlProps/ctrlProp13.xml><?xml version="1.0" encoding="utf-8"?>
<formControlPr xmlns="http://schemas.microsoft.com/office/spreadsheetml/2009/9/main" objectType="CheckBox" fmlaLink="$X$121" lockText="1" noThreeD="1"/>
</file>

<file path=xl/ctrlProps/ctrlProp14.xml><?xml version="1.0" encoding="utf-8"?>
<formControlPr xmlns="http://schemas.microsoft.com/office/spreadsheetml/2009/9/main" objectType="CheckBox" fmlaLink="$I$111" lockText="1" noThreeD="1"/>
</file>

<file path=xl/ctrlProps/ctrlProp15.xml><?xml version="1.0" encoding="utf-8"?>
<formControlPr xmlns="http://schemas.microsoft.com/office/spreadsheetml/2009/9/main" objectType="CheckBox" checked="Checked" fmlaLink="$Q$111" lockText="1" noThreeD="1"/>
</file>

<file path=xl/ctrlProps/ctrlProp16.xml><?xml version="1.0" encoding="utf-8"?>
<formControlPr xmlns="http://schemas.microsoft.com/office/spreadsheetml/2009/9/main" objectType="CheckBox" checked="Checked" fmlaLink="$Q$112" lockText="1" noThreeD="1"/>
</file>

<file path=xl/ctrlProps/ctrlProp17.xml><?xml version="1.0" encoding="utf-8"?>
<formControlPr xmlns="http://schemas.microsoft.com/office/spreadsheetml/2009/9/main" objectType="CheckBox" checked="Checked" fmlaLink="$Q$113" lockText="1" noThreeD="1"/>
</file>

<file path=xl/ctrlProps/ctrlProp18.xml><?xml version="1.0" encoding="utf-8"?>
<formControlPr xmlns="http://schemas.microsoft.com/office/spreadsheetml/2009/9/main" objectType="CheckBox" checked="Checked" fmlaLink="$Q$114" lockText="1" noThreeD="1"/>
</file>

<file path=xl/ctrlProps/ctrlProp19.xml><?xml version="1.0" encoding="utf-8"?>
<formControlPr xmlns="http://schemas.microsoft.com/office/spreadsheetml/2009/9/main" objectType="CheckBox" checked="Checked" fmlaLink="$Q$115" lockText="1" noThreeD="1"/>
</file>

<file path=xl/ctrlProps/ctrlProp20.xml><?xml version="1.0" encoding="utf-8"?>
<formControlPr xmlns="http://schemas.microsoft.com/office/spreadsheetml/2009/9/main" objectType="CheckBox" checked="Checked" fmlaLink="$Q$116" lockText="1" noThreeD="1"/>
</file>

<file path=xl/ctrlProps/ctrlProp21.xml><?xml version="1.0" encoding="utf-8"?>
<formControlPr xmlns="http://schemas.microsoft.com/office/spreadsheetml/2009/9/main" objectType="CheckBox" checked="Checked" fmlaLink="$Q$117" lockText="1" noThreeD="1"/>
</file>

<file path=xl/ctrlProps/ctrlProp22.xml><?xml version="1.0" encoding="utf-8"?>
<formControlPr xmlns="http://schemas.microsoft.com/office/spreadsheetml/2009/9/main" objectType="CheckBox" fmlaLink="$Q$118" lockText="1" noThreeD="1"/>
</file>

<file path=xl/ctrlProps/ctrlProp23.xml><?xml version="1.0" encoding="utf-8"?>
<formControlPr xmlns="http://schemas.microsoft.com/office/spreadsheetml/2009/9/main" objectType="CheckBox" fmlaLink="$Q$119" lockText="1" noThreeD="1"/>
</file>

<file path=xl/ctrlProps/ctrlProp24.xml><?xml version="1.0" encoding="utf-8"?>
<formControlPr xmlns="http://schemas.microsoft.com/office/spreadsheetml/2009/9/main" objectType="CheckBox" fmlaLink="$Q$120" lockText="1" noThreeD="1"/>
</file>

<file path=xl/ctrlProps/ctrlProp25.xml><?xml version="1.0" encoding="utf-8"?>
<formControlPr xmlns="http://schemas.microsoft.com/office/spreadsheetml/2009/9/main" objectType="CheckBox" checked="Checked" fmlaLink="$Q$121" lockText="1" noThreeD="1"/>
</file>

<file path=xl/ctrlProps/ctrlProp26.xml><?xml version="1.0" encoding="utf-8"?>
<formControlPr xmlns="http://schemas.microsoft.com/office/spreadsheetml/2009/9/main" objectType="CheckBox" fmlaLink="$I$120" lockText="1" noThreeD="1"/>
</file>

<file path=xl/ctrlProps/ctrlProp27.xml><?xml version="1.0" encoding="utf-8"?>
<formControlPr xmlns="http://schemas.microsoft.com/office/spreadsheetml/2009/9/main" objectType="CheckBox" fmlaLink="$I$121" lockText="1" noThreeD="1"/>
</file>

<file path=xl/ctrlProps/ctrlProp28.xml><?xml version="1.0" encoding="utf-8"?>
<formControlPr xmlns="http://schemas.microsoft.com/office/spreadsheetml/2009/9/main" objectType="CheckBox" checked="Checked" fmlaLink="$I$122" lockText="1" noThreeD="1"/>
</file>

<file path=xl/ctrlProps/ctrlProp29.xml><?xml version="1.0" encoding="utf-8"?>
<formControlPr xmlns="http://schemas.microsoft.com/office/spreadsheetml/2009/9/main" objectType="CheckBox" fmlaLink="$I$123" lockText="1" noThreeD="1"/>
</file>

<file path=xl/ctrlProps/ctrlProp30.xml><?xml version="1.0" encoding="utf-8"?>
<formControlPr xmlns="http://schemas.microsoft.com/office/spreadsheetml/2009/9/main" objectType="CheckBox" fmlaLink="$I$124" lockText="1" noThreeD="1"/>
</file>

<file path=xl/ctrlProps/ctrlProp31.xml><?xml version="1.0" encoding="utf-8"?>
<formControlPr xmlns="http://schemas.microsoft.com/office/spreadsheetml/2009/9/main" objectType="CheckBox" fmlaLink="$I$125" lockText="1" noThreeD="1"/>
</file>

<file path=xl/ctrlProps/ctrlProp32.xml><?xml version="1.0" encoding="utf-8"?>
<formControlPr xmlns="http://schemas.microsoft.com/office/spreadsheetml/2009/9/main" objectType="CheckBox" checked="Checked" fmlaLink="$I$126" lockText="1" noThreeD="1"/>
</file>

<file path=xl/ctrlProps/ctrlProp33.xml><?xml version="1.0" encoding="utf-8"?>
<formControlPr xmlns="http://schemas.microsoft.com/office/spreadsheetml/2009/9/main" objectType="CheckBox" checked="Checked" fmlaLink="$X$131" lockText="1" noThreeD="1"/>
</file>

<file path=xl/ctrlProps/ctrlProp34.xml><?xml version="1.0" encoding="utf-8"?>
<formControlPr xmlns="http://schemas.microsoft.com/office/spreadsheetml/2009/9/main" objectType="CheckBox" checked="Checked" fmlaLink="$X$132" lockText="1" noThreeD="1"/>
</file>

<file path=xl/ctrlProps/ctrlProp35.xml><?xml version="1.0" encoding="utf-8"?>
<formControlPr xmlns="http://schemas.microsoft.com/office/spreadsheetml/2009/9/main" objectType="CheckBox" checked="Checked" fmlaLink="$X$133" lockText="1" noThreeD="1"/>
</file>

<file path=xl/ctrlProps/ctrlProp36.xml><?xml version="1.0" encoding="utf-8"?>
<formControlPr xmlns="http://schemas.microsoft.com/office/spreadsheetml/2009/9/main" objectType="CheckBox" checked="Checked" fmlaLink="$X$134" lockText="1" noThreeD="1"/>
</file>

<file path=xl/ctrlProps/ctrlProp37.xml><?xml version="1.0" encoding="utf-8"?>
<formControlPr xmlns="http://schemas.microsoft.com/office/spreadsheetml/2009/9/main" objectType="CheckBox" fmlaLink="$X$129" lockText="1" noThreeD="1"/>
</file>

<file path=xl/ctrlProps/ctrlProp38.xml><?xml version="1.0" encoding="utf-8"?>
<formControlPr xmlns="http://schemas.microsoft.com/office/spreadsheetml/2009/9/main" objectType="CheckBox" checked="Checked" fmlaLink="$X$128" lockText="1" noThreeD="1"/>
</file>

<file path=xl/ctrlProps/ctrlProp39.xml><?xml version="1.0" encoding="utf-8"?>
<formControlPr xmlns="http://schemas.microsoft.com/office/spreadsheetml/2009/9/main" objectType="CheckBox" fmlaLink="$X$130" lockText="1" noThreeD="1"/>
</file>

<file path=xl/ctrlProps/ctrlProp40.xml><?xml version="1.0" encoding="utf-8"?>
<formControlPr xmlns="http://schemas.microsoft.com/office/spreadsheetml/2009/9/main" objectType="CheckBox" checked="Checked" fmlaLink="$Q$120" lockText="1" noThreeD="1"/>
</file>

<file path=xl/ctrlProps/ctrlProp41.xml><?xml version="1.0" encoding="utf-8"?>
<formControlPr xmlns="http://schemas.microsoft.com/office/spreadsheetml/2009/9/main" objectType="CheckBox" checked="Checked" fmlaLink="$Q$121" lockText="1" noThreeD="1"/>
</file>

<file path=xl/ctrlProps/ctrlProp42.xml><?xml version="1.0" encoding="utf-8"?>
<formControlPr xmlns="http://schemas.microsoft.com/office/spreadsheetml/2009/9/main" objectType="CheckBox" checked="Checked" fmlaLink="$Q$122" lockText="1" noThreeD="1"/>
</file>

<file path=xl/ctrlProps/ctrlProp43.xml><?xml version="1.0" encoding="utf-8"?>
<formControlPr xmlns="http://schemas.microsoft.com/office/spreadsheetml/2009/9/main" objectType="CheckBox" checked="Checked" fmlaLink="$Q$123" lockText="1" noThreeD="1"/>
</file>

<file path=xl/ctrlProps/ctrlProp44.xml><?xml version="1.0" encoding="utf-8"?>
<formControlPr xmlns="http://schemas.microsoft.com/office/spreadsheetml/2009/9/main" objectType="CheckBox" checked="Checked" fmlaLink="$Q$124" lockText="1" noThreeD="1"/>
</file>

<file path=xl/ctrlProps/ctrlProp45.xml><?xml version="1.0" encoding="utf-8"?>
<formControlPr xmlns="http://schemas.microsoft.com/office/spreadsheetml/2009/9/main" objectType="CheckBox" checked="Checked" fmlaLink="$Q$125" lockText="1" noThreeD="1"/>
</file>

<file path=xl/ctrlProps/ctrlProp46.xml><?xml version="1.0" encoding="utf-8"?>
<formControlPr xmlns="http://schemas.microsoft.com/office/spreadsheetml/2009/9/main" objectType="CheckBox" checked="Checked" fmlaLink="$Q$126" lockText="1" noThreeD="1"/>
</file>

<file path=xl/ctrlProps/ctrlProp47.xml><?xml version="1.0" encoding="utf-8"?>
<formControlPr xmlns="http://schemas.microsoft.com/office/spreadsheetml/2009/9/main" objectType="CheckBox" fmlaLink="$Q$127" lockText="1" noThreeD="1"/>
</file>

<file path=xl/ctrlProps/ctrlProp48.xml><?xml version="1.0" encoding="utf-8"?>
<formControlPr xmlns="http://schemas.microsoft.com/office/spreadsheetml/2009/9/main" objectType="CheckBox" fmlaLink="$Q$128" lockText="1" noThreeD="1"/>
</file>

<file path=xl/ctrlProps/ctrlProp49.xml><?xml version="1.0" encoding="utf-8"?>
<formControlPr xmlns="http://schemas.microsoft.com/office/spreadsheetml/2009/9/main" objectType="CheckBox" fmlaLink="$Q$129" lockText="1" noThreeD="1"/>
</file>

<file path=xl/ctrlProps/ctrlProp50.xml><?xml version="1.0" encoding="utf-8"?>
<formControlPr xmlns="http://schemas.microsoft.com/office/spreadsheetml/2009/9/main" objectType="CheckBox" checked="Checked" fmlaLink="$Q$130" lockText="1" noThreeD="1"/>
</file>

<file path=xl/ctrlProps/ctrlProp51.xml><?xml version="1.0" encoding="utf-8"?>
<formControlPr xmlns="http://schemas.microsoft.com/office/spreadsheetml/2009/9/main" objectType="CheckBox" fmlaLink="$I$120" lockText="1" noThreeD="1"/>
</file>

<file path=xl/ctrlProps/ctrlProp52.xml><?xml version="1.0" encoding="utf-8"?>
<formControlPr xmlns="http://schemas.microsoft.com/office/spreadsheetml/2009/9/main" objectType="CheckBox" fmlaLink="$I$121" lockText="1" noThreeD="1"/>
</file>

<file path=xl/ctrlProps/ctrlProp53.xml><?xml version="1.0" encoding="utf-8"?>
<formControlPr xmlns="http://schemas.microsoft.com/office/spreadsheetml/2009/9/main" objectType="CheckBox" fmlaLink="$I$122" lockText="1" noThreeD="1"/>
</file>

<file path=xl/ctrlProps/ctrlProp54.xml><?xml version="1.0" encoding="utf-8"?>
<formControlPr xmlns="http://schemas.microsoft.com/office/spreadsheetml/2009/9/main" objectType="CheckBox" fmlaLink="$I$123" lockText="1" noThreeD="1"/>
</file>

<file path=xl/ctrlProps/ctrlProp55.xml><?xml version="1.0" encoding="utf-8"?>
<formControlPr xmlns="http://schemas.microsoft.com/office/spreadsheetml/2009/9/main" objectType="CheckBox" fmlaLink="$I$124" lockText="1" noThreeD="1"/>
</file>

<file path=xl/ctrlProps/ctrlProp56.xml><?xml version="1.0" encoding="utf-8"?>
<formControlPr xmlns="http://schemas.microsoft.com/office/spreadsheetml/2009/9/main" objectType="CheckBox" fmlaLink="$I$125" lockText="1" noThreeD="1"/>
</file>

<file path=xl/ctrlProps/ctrlProp57.xml><?xml version="1.0" encoding="utf-8"?>
<formControlPr xmlns="http://schemas.microsoft.com/office/spreadsheetml/2009/9/main" objectType="CheckBox" checked="Checked" fmlaLink="$I$126" lockText="1" noThreeD="1"/>
</file>

<file path=xl/ctrlProps/ctrlProp58.xml><?xml version="1.0" encoding="utf-8"?>
<formControlPr xmlns="http://schemas.microsoft.com/office/spreadsheetml/2009/9/main" objectType="CheckBox" checked="Checked" fmlaLink="$X$131" lockText="1" noThreeD="1"/>
</file>

<file path=xl/ctrlProps/ctrlProp59.xml><?xml version="1.0" encoding="utf-8"?>
<formControlPr xmlns="http://schemas.microsoft.com/office/spreadsheetml/2009/9/main" objectType="CheckBox" checked="Checked" fmlaLink="$X$132" lockText="1" noThreeD="1"/>
</file>

<file path=xl/ctrlProps/ctrlProp60.xml><?xml version="1.0" encoding="utf-8"?>
<formControlPr xmlns="http://schemas.microsoft.com/office/spreadsheetml/2009/9/main" objectType="CheckBox" checked="Checked" fmlaLink="$X$133" lockText="1" noThreeD="1"/>
</file>

<file path=xl/ctrlProps/ctrlProp61.xml><?xml version="1.0" encoding="utf-8"?>
<formControlPr xmlns="http://schemas.microsoft.com/office/spreadsheetml/2009/9/main" objectType="CheckBox" checked="Checked" fmlaLink="$X$134" lockText="1" noThreeD="1"/>
</file>

<file path=xl/ctrlProps/ctrlProp62.xml><?xml version="1.0" encoding="utf-8"?>
<formControlPr xmlns="http://schemas.microsoft.com/office/spreadsheetml/2009/9/main" objectType="CheckBox" fmlaLink="$X$129" lockText="1" noThreeD="1"/>
</file>

<file path=xl/ctrlProps/ctrlProp63.xml><?xml version="1.0" encoding="utf-8"?>
<formControlPr xmlns="http://schemas.microsoft.com/office/spreadsheetml/2009/9/main" objectType="CheckBox" checked="Checked" fmlaLink="$X$128" lockText="1" noThreeD="1"/>
</file>

<file path=xl/ctrlProps/ctrlProp64.xml><?xml version="1.0" encoding="utf-8"?>
<formControlPr xmlns="http://schemas.microsoft.com/office/spreadsheetml/2009/9/main" objectType="CheckBox" fmlaLink="$X$130" lockText="1" noThreeD="1"/>
</file>

<file path=xl/ctrlProps/ctrlProp65.xml><?xml version="1.0" encoding="utf-8"?>
<formControlPr xmlns="http://schemas.microsoft.com/office/spreadsheetml/2009/9/main" objectType="CheckBox" checked="Checked" fmlaLink="$Q$120" lockText="1" noThreeD="1"/>
</file>

<file path=xl/ctrlProps/ctrlProp66.xml><?xml version="1.0" encoding="utf-8"?>
<formControlPr xmlns="http://schemas.microsoft.com/office/spreadsheetml/2009/9/main" objectType="CheckBox" checked="Checked" fmlaLink="$Q$121" lockText="1" noThreeD="1"/>
</file>

<file path=xl/ctrlProps/ctrlProp67.xml><?xml version="1.0" encoding="utf-8"?>
<formControlPr xmlns="http://schemas.microsoft.com/office/spreadsheetml/2009/9/main" objectType="CheckBox" checked="Checked" fmlaLink="$Q$122" lockText="1" noThreeD="1"/>
</file>

<file path=xl/ctrlProps/ctrlProp68.xml><?xml version="1.0" encoding="utf-8"?>
<formControlPr xmlns="http://schemas.microsoft.com/office/spreadsheetml/2009/9/main" objectType="CheckBox" checked="Checked" fmlaLink="$Q$123" lockText="1" noThreeD="1"/>
</file>

<file path=xl/ctrlProps/ctrlProp69.xml><?xml version="1.0" encoding="utf-8"?>
<formControlPr xmlns="http://schemas.microsoft.com/office/spreadsheetml/2009/9/main" objectType="CheckBox" checked="Checked" fmlaLink="$Q$124" lockText="1" noThreeD="1"/>
</file>

<file path=xl/ctrlProps/ctrlProp70.xml><?xml version="1.0" encoding="utf-8"?>
<formControlPr xmlns="http://schemas.microsoft.com/office/spreadsheetml/2009/9/main" objectType="CheckBox" checked="Checked" fmlaLink="$Q$125" lockText="1" noThreeD="1"/>
</file>

<file path=xl/ctrlProps/ctrlProp71.xml><?xml version="1.0" encoding="utf-8"?>
<formControlPr xmlns="http://schemas.microsoft.com/office/spreadsheetml/2009/9/main" objectType="CheckBox" checked="Checked" fmlaLink="$Q$126" lockText="1" noThreeD="1"/>
</file>

<file path=xl/ctrlProps/ctrlProp72.xml><?xml version="1.0" encoding="utf-8"?>
<formControlPr xmlns="http://schemas.microsoft.com/office/spreadsheetml/2009/9/main" objectType="CheckBox" fmlaLink="$Q$127" lockText="1" noThreeD="1"/>
</file>

<file path=xl/ctrlProps/ctrlProp73.xml><?xml version="1.0" encoding="utf-8"?>
<formControlPr xmlns="http://schemas.microsoft.com/office/spreadsheetml/2009/9/main" objectType="CheckBox" fmlaLink="$Q$128" lockText="1" noThreeD="1"/>
</file>

<file path=xl/ctrlProps/ctrlProp74.xml><?xml version="1.0" encoding="utf-8"?>
<formControlPr xmlns="http://schemas.microsoft.com/office/spreadsheetml/2009/9/main" objectType="CheckBox" fmlaLink="$Q$129" lockText="1" noThreeD="1"/>
</file>

<file path=xl/ctrlProps/ctrlProp75.xml><?xml version="1.0" encoding="utf-8"?>
<formControlPr xmlns="http://schemas.microsoft.com/office/spreadsheetml/2009/9/main" objectType="CheckBox" checked="Checked" fmlaLink="$Q$130" lockText="1" noThreeD="1"/>
</file>

<file path=xl/ctrlProps/ctrlProp76.xml><?xml version="1.0" encoding="utf-8"?>
<formControlPr xmlns="http://schemas.microsoft.com/office/spreadsheetml/2009/9/main" objectType="CheckBox" fmlaLink="$I$105" lockText="1" noThreeD="1"/>
</file>

<file path=xl/ctrlProps/ctrlProp77.xml><?xml version="1.0" encoding="utf-8"?>
<formControlPr xmlns="http://schemas.microsoft.com/office/spreadsheetml/2009/9/main" objectType="CheckBox" fmlaLink="$I$106" lockText="1" noThreeD="1"/>
</file>

<file path=xl/ctrlProps/ctrlProp78.xml><?xml version="1.0" encoding="utf-8"?>
<formControlPr xmlns="http://schemas.microsoft.com/office/spreadsheetml/2009/9/main" objectType="CheckBox" checked="Checked" fmlaLink="$I$107" lockText="1" noThreeD="1"/>
</file>

<file path=xl/ctrlProps/ctrlProp79.xml><?xml version="1.0" encoding="utf-8"?>
<formControlPr xmlns="http://schemas.microsoft.com/office/spreadsheetml/2009/9/main" objectType="CheckBox" fmlaLink="$I$108" lockText="1" noThreeD="1"/>
</file>

<file path=xl/ctrlProps/ctrlProp80.xml><?xml version="1.0" encoding="utf-8"?>
<formControlPr xmlns="http://schemas.microsoft.com/office/spreadsheetml/2009/9/main" objectType="CheckBox" fmlaLink="$I$109" lockText="1" noThreeD="1"/>
</file>

<file path=xl/ctrlProps/ctrlProp81.xml><?xml version="1.0" encoding="utf-8"?>
<formControlPr xmlns="http://schemas.microsoft.com/office/spreadsheetml/2009/9/main" objectType="CheckBox" fmlaLink="$I$110" lockText="1" noThreeD="1"/>
</file>

<file path=xl/ctrlProps/ctrlProp82.xml><?xml version="1.0" encoding="utf-8"?>
<formControlPr xmlns="http://schemas.microsoft.com/office/spreadsheetml/2009/9/main" objectType="CheckBox" fmlaLink="$I$111" lockText="1" noThreeD="1"/>
</file>

<file path=xl/ctrlProps/ctrlProp83.xml><?xml version="1.0" encoding="utf-8"?>
<formControlPr xmlns="http://schemas.microsoft.com/office/spreadsheetml/2009/9/main" objectType="CheckBox" checked="Checked" fmlaLink="$X$116" lockText="1" noThreeD="1"/>
</file>

<file path=xl/ctrlProps/ctrlProp84.xml><?xml version="1.0" encoding="utf-8"?>
<formControlPr xmlns="http://schemas.microsoft.com/office/spreadsheetml/2009/9/main" objectType="CheckBox" checked="Checked" fmlaLink="$X$117" lockText="1" noThreeD="1"/>
</file>

<file path=xl/ctrlProps/ctrlProp85.xml><?xml version="1.0" encoding="utf-8"?>
<formControlPr xmlns="http://schemas.microsoft.com/office/spreadsheetml/2009/9/main" objectType="CheckBox" checked="Checked" fmlaLink="$X$118" lockText="1" noThreeD="1"/>
</file>

<file path=xl/ctrlProps/ctrlProp86.xml><?xml version="1.0" encoding="utf-8"?>
<formControlPr xmlns="http://schemas.microsoft.com/office/spreadsheetml/2009/9/main" objectType="CheckBox" checked="Checked" fmlaLink="$X$119" lockText="1" noThreeD="1"/>
</file>

<file path=xl/ctrlProps/ctrlProp87.xml><?xml version="1.0" encoding="utf-8"?>
<formControlPr xmlns="http://schemas.microsoft.com/office/spreadsheetml/2009/9/main" objectType="CheckBox" fmlaLink="$X$114" lockText="1" noThreeD="1"/>
</file>

<file path=xl/ctrlProps/ctrlProp88.xml><?xml version="1.0" encoding="utf-8"?>
<formControlPr xmlns="http://schemas.microsoft.com/office/spreadsheetml/2009/9/main" objectType="CheckBox" fmlaLink="$X$113" lockText="1" noThreeD="1"/>
</file>

<file path=xl/ctrlProps/ctrlProp89.xml><?xml version="1.0" encoding="utf-8"?>
<formControlPr xmlns="http://schemas.microsoft.com/office/spreadsheetml/2009/9/main" objectType="CheckBox" fmlaLink="$X$115" lockText="1" noThreeD="1"/>
</file>

<file path=xl/ctrlProps/ctrlProp90.xml><?xml version="1.0" encoding="utf-8"?>
<formControlPr xmlns="http://schemas.microsoft.com/office/spreadsheetml/2009/9/main" objectType="CheckBox" checked="Checked" fmlaLink="$Q$105" lockText="1" noThreeD="1"/>
</file>

<file path=xl/ctrlProps/ctrlProp91.xml><?xml version="1.0" encoding="utf-8"?>
<formControlPr xmlns="http://schemas.microsoft.com/office/spreadsheetml/2009/9/main" objectType="CheckBox" checked="Checked" fmlaLink="$Q$106" lockText="1" noThreeD="1"/>
</file>

<file path=xl/ctrlProps/ctrlProp92.xml><?xml version="1.0" encoding="utf-8"?>
<formControlPr xmlns="http://schemas.microsoft.com/office/spreadsheetml/2009/9/main" objectType="CheckBox" checked="Checked" fmlaLink="$Q$107" lockText="1" noThreeD="1"/>
</file>

<file path=xl/ctrlProps/ctrlProp93.xml><?xml version="1.0" encoding="utf-8"?>
<formControlPr xmlns="http://schemas.microsoft.com/office/spreadsheetml/2009/9/main" objectType="CheckBox" checked="Checked" fmlaLink="$Q$108" lockText="1" noThreeD="1"/>
</file>

<file path=xl/ctrlProps/ctrlProp94.xml><?xml version="1.0" encoding="utf-8"?>
<formControlPr xmlns="http://schemas.microsoft.com/office/spreadsheetml/2009/9/main" objectType="CheckBox" checked="Checked" fmlaLink="$Q$109" lockText="1" noThreeD="1"/>
</file>

<file path=xl/ctrlProps/ctrlProp95.xml><?xml version="1.0" encoding="utf-8"?>
<formControlPr xmlns="http://schemas.microsoft.com/office/spreadsheetml/2009/9/main" objectType="CheckBox" checked="Checked" fmlaLink="$Q$110" lockText="1" noThreeD="1"/>
</file>

<file path=xl/ctrlProps/ctrlProp96.xml><?xml version="1.0" encoding="utf-8"?>
<formControlPr xmlns="http://schemas.microsoft.com/office/spreadsheetml/2009/9/main" objectType="CheckBox" checked="Checked" fmlaLink="$Q$111" lockText="1" noThreeD="1"/>
</file>

<file path=xl/ctrlProps/ctrlProp97.xml><?xml version="1.0" encoding="utf-8"?>
<formControlPr xmlns="http://schemas.microsoft.com/office/spreadsheetml/2009/9/main" objectType="CheckBox" fmlaLink="$Q$112" lockText="1" noThreeD="1"/>
</file>

<file path=xl/ctrlProps/ctrlProp98.xml><?xml version="1.0" encoding="utf-8"?>
<formControlPr xmlns="http://schemas.microsoft.com/office/spreadsheetml/2009/9/main" objectType="CheckBox" fmlaLink="$Q$113" lockText="1" noThreeD="1"/>
</file>

<file path=xl/ctrlProps/ctrlProp99.xml><?xml version="1.0" encoding="utf-8"?>
<formControlPr xmlns="http://schemas.microsoft.com/office/spreadsheetml/2009/9/main" objectType="CheckBox" fmlaLink="$Q$114" lockText="1" noThreeD="1"/>
</file>

<file path=xl/ctrlProps/ctrlProp100.xml><?xml version="1.0" encoding="utf-8"?>
<formControlPr xmlns="http://schemas.microsoft.com/office/spreadsheetml/2009/9/main" objectType="CheckBox" checked="Checked" fmlaLink="$Q$115" lockText="1" noThreeD="1"/>
</file>

<file path=xl/ctrlProps/ctrlProp101.xml><?xml version="1.0" encoding="utf-8"?>
<formControlPr xmlns="http://schemas.microsoft.com/office/spreadsheetml/2009/9/main" objectType="CheckBox" fmlaLink="$I$111" lockText="1" noThreeD="1"/>
</file>

<file path=xl/ctrlProps/ctrlProp102.xml><?xml version="1.0" encoding="utf-8"?>
<formControlPr xmlns="http://schemas.microsoft.com/office/spreadsheetml/2009/9/main" objectType="CheckBox" fmlaLink="$I$112" lockText="1" noThreeD="1"/>
</file>

<file path=xl/ctrlProps/ctrlProp103.xml><?xml version="1.0" encoding="utf-8"?>
<formControlPr xmlns="http://schemas.microsoft.com/office/spreadsheetml/2009/9/main" objectType="CheckBox" checked="Checked" fmlaLink="$I$113" lockText="1" noThreeD="1"/>
</file>

<file path=xl/ctrlProps/ctrlProp104.xml><?xml version="1.0" encoding="utf-8"?>
<formControlPr xmlns="http://schemas.microsoft.com/office/spreadsheetml/2009/9/main" objectType="CheckBox" fmlaLink="$I$114" lockText="1" noThreeD="1"/>
</file>

<file path=xl/ctrlProps/ctrlProp105.xml><?xml version="1.0" encoding="utf-8"?>
<formControlPr xmlns="http://schemas.microsoft.com/office/spreadsheetml/2009/9/main" objectType="CheckBox" fmlaLink="$I$115" lockText="1" noThreeD="1"/>
</file>

<file path=xl/ctrlProps/ctrlProp106.xml><?xml version="1.0" encoding="utf-8"?>
<formControlPr xmlns="http://schemas.microsoft.com/office/spreadsheetml/2009/9/main" objectType="CheckBox" fmlaLink="$I$116" lockText="1" noThreeD="1"/>
</file>

<file path=xl/ctrlProps/ctrlProp107.xml><?xml version="1.0" encoding="utf-8"?>
<formControlPr xmlns="http://schemas.microsoft.com/office/spreadsheetml/2009/9/main" objectType="CheckBox" fmlaLink="$I$117" lockText="1" noThreeD="1"/>
</file>

<file path=xl/ctrlProps/ctrlProp108.xml><?xml version="1.0" encoding="utf-8"?>
<formControlPr xmlns="http://schemas.microsoft.com/office/spreadsheetml/2009/9/main" objectType="CheckBox" checked="Checked" fmlaLink="$X$122" lockText="1" noThreeD="1"/>
</file>

<file path=xl/ctrlProps/ctrlProp109.xml><?xml version="1.0" encoding="utf-8"?>
<formControlPr xmlns="http://schemas.microsoft.com/office/spreadsheetml/2009/9/main" objectType="CheckBox" checked="Checked" fmlaLink="$X$123" lockText="1" noThreeD="1"/>
</file>

<file path=xl/ctrlProps/ctrlProp110.xml><?xml version="1.0" encoding="utf-8"?>
<formControlPr xmlns="http://schemas.microsoft.com/office/spreadsheetml/2009/9/main" objectType="CheckBox" checked="Checked" fmlaLink="$X$124" lockText="1" noThreeD="1"/>
</file>

<file path=xl/ctrlProps/ctrlProp111.xml><?xml version="1.0" encoding="utf-8"?>
<formControlPr xmlns="http://schemas.microsoft.com/office/spreadsheetml/2009/9/main" objectType="CheckBox" checked="Checked" fmlaLink="$X$125" lockText="1" noThreeD="1"/>
</file>

<file path=xl/ctrlProps/ctrlProp112.xml><?xml version="1.0" encoding="utf-8"?>
<formControlPr xmlns="http://schemas.microsoft.com/office/spreadsheetml/2009/9/main" objectType="CheckBox" fmlaLink="$X$120" lockText="1" noThreeD="1"/>
</file>

<file path=xl/ctrlProps/ctrlProp113.xml><?xml version="1.0" encoding="utf-8"?>
<formControlPr xmlns="http://schemas.microsoft.com/office/spreadsheetml/2009/9/main" objectType="CheckBox" checked="Checked" fmlaLink="$X$119" lockText="1" noThreeD="1"/>
</file>

<file path=xl/ctrlProps/ctrlProp114.xml><?xml version="1.0" encoding="utf-8"?>
<formControlPr xmlns="http://schemas.microsoft.com/office/spreadsheetml/2009/9/main" objectType="CheckBox" fmlaLink="$X$121" lockText="1" noThreeD="1"/>
</file>

<file path=xl/ctrlProps/ctrlProp115.xml><?xml version="1.0" encoding="utf-8"?>
<formControlPr xmlns="http://schemas.microsoft.com/office/spreadsheetml/2009/9/main" objectType="CheckBox" checked="Checked" fmlaLink="$Q$111" lockText="1" noThreeD="1"/>
</file>

<file path=xl/ctrlProps/ctrlProp116.xml><?xml version="1.0" encoding="utf-8"?>
<formControlPr xmlns="http://schemas.microsoft.com/office/spreadsheetml/2009/9/main" objectType="CheckBox" checked="Checked" fmlaLink="$Q$112" lockText="1" noThreeD="1"/>
</file>

<file path=xl/ctrlProps/ctrlProp117.xml><?xml version="1.0" encoding="utf-8"?>
<formControlPr xmlns="http://schemas.microsoft.com/office/spreadsheetml/2009/9/main" objectType="CheckBox" checked="Checked" fmlaLink="$Q$113" lockText="1" noThreeD="1"/>
</file>

<file path=xl/ctrlProps/ctrlProp118.xml><?xml version="1.0" encoding="utf-8"?>
<formControlPr xmlns="http://schemas.microsoft.com/office/spreadsheetml/2009/9/main" objectType="CheckBox" checked="Checked" fmlaLink="$Q$114" lockText="1" noThreeD="1"/>
</file>

<file path=xl/ctrlProps/ctrlProp119.xml><?xml version="1.0" encoding="utf-8"?>
<formControlPr xmlns="http://schemas.microsoft.com/office/spreadsheetml/2009/9/main" objectType="CheckBox" checked="Checked" fmlaLink="$Q$115" lockText="1" noThreeD="1"/>
</file>

<file path=xl/ctrlProps/ctrlProp120.xml><?xml version="1.0" encoding="utf-8"?>
<formControlPr xmlns="http://schemas.microsoft.com/office/spreadsheetml/2009/9/main" objectType="CheckBox" checked="Checked" fmlaLink="$Q$116" lockText="1" noThreeD="1"/>
</file>

<file path=xl/ctrlProps/ctrlProp121.xml><?xml version="1.0" encoding="utf-8"?>
<formControlPr xmlns="http://schemas.microsoft.com/office/spreadsheetml/2009/9/main" objectType="CheckBox" checked="Checked" fmlaLink="$Q$117" lockText="1" noThreeD="1"/>
</file>

<file path=xl/ctrlProps/ctrlProp122.xml><?xml version="1.0" encoding="utf-8"?>
<formControlPr xmlns="http://schemas.microsoft.com/office/spreadsheetml/2009/9/main" objectType="CheckBox" fmlaLink="$Q$118" lockText="1" noThreeD="1"/>
</file>

<file path=xl/ctrlProps/ctrlProp123.xml><?xml version="1.0" encoding="utf-8"?>
<formControlPr xmlns="http://schemas.microsoft.com/office/spreadsheetml/2009/9/main" objectType="CheckBox" fmlaLink="$Q$119" lockText="1" noThreeD="1"/>
</file>

<file path=xl/ctrlProps/ctrlProp124.xml><?xml version="1.0" encoding="utf-8"?>
<formControlPr xmlns="http://schemas.microsoft.com/office/spreadsheetml/2009/9/main" objectType="CheckBox" fmlaLink="$Q$120" lockText="1" noThreeD="1"/>
</file>

<file path=xl/ctrlProps/ctrlProp125.xml><?xml version="1.0" encoding="utf-8"?>
<formControlPr xmlns="http://schemas.microsoft.com/office/spreadsheetml/2009/9/main" objectType="CheckBox" checked="Checked" fmlaLink="$Q$121" lockText="1" noThreeD="1"/>
</file>

<file path=xl/ctrlProps/ctrlProp126.xml><?xml version="1.0" encoding="utf-8"?>
<formControlPr xmlns="http://schemas.microsoft.com/office/spreadsheetml/2009/9/main" objectType="CheckBox" checked="Checked" fmlaLink="$I$117" lockText="1" noThreeD="1"/>
</file>

<file path=xl/ctrlProps/ctrlProp127.xml><?xml version="1.0" encoding="utf-8"?>
<formControlPr xmlns="http://schemas.microsoft.com/office/spreadsheetml/2009/9/main" objectType="CheckBox" fmlaLink="$I$118" lockText="1" noThreeD="1"/>
</file>

<file path=xl/ctrlProps/ctrlProp128.xml><?xml version="1.0" encoding="utf-8"?>
<formControlPr xmlns="http://schemas.microsoft.com/office/spreadsheetml/2009/9/main" objectType="CheckBox" fmlaLink="$I$119" lockText="1" noThreeD="1"/>
</file>

<file path=xl/ctrlProps/ctrlProp129.xml><?xml version="1.0" encoding="utf-8"?>
<formControlPr xmlns="http://schemas.microsoft.com/office/spreadsheetml/2009/9/main" objectType="CheckBox" fmlaLink="$I$120" lockText="1" noThreeD="1"/>
</file>

<file path=xl/ctrlProps/ctrlProp130.xml><?xml version="1.0" encoding="utf-8"?>
<formControlPr xmlns="http://schemas.microsoft.com/office/spreadsheetml/2009/9/main" objectType="CheckBox" fmlaLink="$I$121" lockText="1" noThreeD="1"/>
</file>

<file path=xl/ctrlProps/ctrlProp131.xml><?xml version="1.0" encoding="utf-8"?>
<formControlPr xmlns="http://schemas.microsoft.com/office/spreadsheetml/2009/9/main" objectType="CheckBox" fmlaLink="$I$122" lockText="1" noThreeD="1"/>
</file>

<file path=xl/ctrlProps/ctrlProp132.xml><?xml version="1.0" encoding="utf-8"?>
<formControlPr xmlns="http://schemas.microsoft.com/office/spreadsheetml/2009/9/main" objectType="CheckBox" fmlaLink="$I$123" lockText="1" noThreeD="1"/>
</file>

<file path=xl/ctrlProps/ctrlProp133.xml><?xml version="1.0" encoding="utf-8"?>
<formControlPr xmlns="http://schemas.microsoft.com/office/spreadsheetml/2009/9/main" objectType="CheckBox" checked="Checked" fmlaLink="$X$128" lockText="1" noThreeD="1"/>
</file>

<file path=xl/ctrlProps/ctrlProp134.xml><?xml version="1.0" encoding="utf-8"?>
<formControlPr xmlns="http://schemas.microsoft.com/office/spreadsheetml/2009/9/main" objectType="CheckBox" checked="Checked" fmlaLink="$X$129" lockText="1" noThreeD="1"/>
</file>

<file path=xl/ctrlProps/ctrlProp135.xml><?xml version="1.0" encoding="utf-8"?>
<formControlPr xmlns="http://schemas.microsoft.com/office/spreadsheetml/2009/9/main" objectType="CheckBox" checked="Checked" fmlaLink="$X$130" lockText="1" noThreeD="1"/>
</file>

<file path=xl/ctrlProps/ctrlProp136.xml><?xml version="1.0" encoding="utf-8"?>
<formControlPr xmlns="http://schemas.microsoft.com/office/spreadsheetml/2009/9/main" objectType="CheckBox" checked="Checked" fmlaLink="$X$131" lockText="1" noThreeD="1"/>
</file>

<file path=xl/ctrlProps/ctrlProp137.xml><?xml version="1.0" encoding="utf-8"?>
<formControlPr xmlns="http://schemas.microsoft.com/office/spreadsheetml/2009/9/main" objectType="CheckBox" fmlaLink="$X$126" lockText="1" noThreeD="1"/>
</file>

<file path=xl/ctrlProps/ctrlProp138.xml><?xml version="1.0" encoding="utf-8"?>
<formControlPr xmlns="http://schemas.microsoft.com/office/spreadsheetml/2009/9/main" objectType="CheckBox" checked="Checked" fmlaLink="$X$125" lockText="1" noThreeD="1"/>
</file>

<file path=xl/ctrlProps/ctrlProp139.xml><?xml version="1.0" encoding="utf-8"?>
<formControlPr xmlns="http://schemas.microsoft.com/office/spreadsheetml/2009/9/main" objectType="CheckBox" fmlaLink="$X$127" lockText="1" noThreeD="1"/>
</file>

<file path=xl/ctrlProps/ctrlProp140.xml><?xml version="1.0" encoding="utf-8"?>
<formControlPr xmlns="http://schemas.microsoft.com/office/spreadsheetml/2009/9/main" objectType="CheckBox" checked="Checked" fmlaLink="$Q$117" lockText="1" noThreeD="1"/>
</file>

<file path=xl/ctrlProps/ctrlProp141.xml><?xml version="1.0" encoding="utf-8"?>
<formControlPr xmlns="http://schemas.microsoft.com/office/spreadsheetml/2009/9/main" objectType="CheckBox" checked="Checked" fmlaLink="$Q$118" lockText="1" noThreeD="1"/>
</file>

<file path=xl/ctrlProps/ctrlProp142.xml><?xml version="1.0" encoding="utf-8"?>
<formControlPr xmlns="http://schemas.microsoft.com/office/spreadsheetml/2009/9/main" objectType="CheckBox" checked="Checked" fmlaLink="$Q$119" lockText="1" noThreeD="1"/>
</file>

<file path=xl/ctrlProps/ctrlProp143.xml><?xml version="1.0" encoding="utf-8"?>
<formControlPr xmlns="http://schemas.microsoft.com/office/spreadsheetml/2009/9/main" objectType="CheckBox" checked="Checked" fmlaLink="$Q$120" lockText="1" noThreeD="1"/>
</file>

<file path=xl/ctrlProps/ctrlProp144.xml><?xml version="1.0" encoding="utf-8"?>
<formControlPr xmlns="http://schemas.microsoft.com/office/spreadsheetml/2009/9/main" objectType="CheckBox" checked="Checked" fmlaLink="$Q$121" lockText="1" noThreeD="1"/>
</file>

<file path=xl/ctrlProps/ctrlProp145.xml><?xml version="1.0" encoding="utf-8"?>
<formControlPr xmlns="http://schemas.microsoft.com/office/spreadsheetml/2009/9/main" objectType="CheckBox" checked="Checked" fmlaLink="$Q$122" lockText="1" noThreeD="1"/>
</file>

<file path=xl/ctrlProps/ctrlProp146.xml><?xml version="1.0" encoding="utf-8"?>
<formControlPr xmlns="http://schemas.microsoft.com/office/spreadsheetml/2009/9/main" objectType="CheckBox" checked="Checked" fmlaLink="$Q$123" lockText="1" noThreeD="1"/>
</file>

<file path=xl/ctrlProps/ctrlProp147.xml><?xml version="1.0" encoding="utf-8"?>
<formControlPr xmlns="http://schemas.microsoft.com/office/spreadsheetml/2009/9/main" objectType="CheckBox" fmlaLink="$Q$124" lockText="1" noThreeD="1"/>
</file>

<file path=xl/ctrlProps/ctrlProp148.xml><?xml version="1.0" encoding="utf-8"?>
<formControlPr xmlns="http://schemas.microsoft.com/office/spreadsheetml/2009/9/main" objectType="CheckBox" fmlaLink="$Q$125" lockText="1" noThreeD="1"/>
</file>

<file path=xl/ctrlProps/ctrlProp149.xml><?xml version="1.0" encoding="utf-8"?>
<formControlPr xmlns="http://schemas.microsoft.com/office/spreadsheetml/2009/9/main" objectType="CheckBox" fmlaLink="$Q$126" lockText="1" noThreeD="1"/>
</file>

<file path=xl/ctrlProps/ctrlProp150.xml><?xml version="1.0" encoding="utf-8"?>
<formControlPr xmlns="http://schemas.microsoft.com/office/spreadsheetml/2009/9/main" objectType="CheckBox" checked="Checked" fmlaLink="$Q$127" lockText="1" noThreeD="1"/>
</file>

<file path=xl/ctrlProps/ctrlProp151.xml><?xml version="1.0" encoding="utf-8"?>
<formControlPr xmlns="http://schemas.microsoft.com/office/spreadsheetml/2009/9/main" objectType="CheckBox" checked="Checked" fmlaLink="$I$129" lockText="1" noThreeD="1"/>
</file>

<file path=xl/ctrlProps/ctrlProp152.xml><?xml version="1.0" encoding="utf-8"?>
<formControlPr xmlns="http://schemas.microsoft.com/office/spreadsheetml/2009/9/main" objectType="CheckBox" checked="Checked" fmlaLink="$I$130" lockText="1" noThreeD="1"/>
</file>

<file path=xl/ctrlProps/ctrlProp153.xml><?xml version="1.0" encoding="utf-8"?>
<formControlPr xmlns="http://schemas.microsoft.com/office/spreadsheetml/2009/9/main" objectType="CheckBox" checked="Checked" fmlaLink="$I$131" lockText="1" noThreeD="1"/>
</file>

<file path=xl/ctrlProps/ctrlProp154.xml><?xml version="1.0" encoding="utf-8"?>
<formControlPr xmlns="http://schemas.microsoft.com/office/spreadsheetml/2009/9/main" objectType="CheckBox" fmlaLink="$I$132" lockText="1" noThreeD="1"/>
</file>

<file path=xl/ctrlProps/ctrlProp155.xml><?xml version="1.0" encoding="utf-8"?>
<formControlPr xmlns="http://schemas.microsoft.com/office/spreadsheetml/2009/9/main" objectType="CheckBox" fmlaLink="$I$133" lockText="1" noThreeD="1"/>
</file>

<file path=xl/ctrlProps/ctrlProp156.xml><?xml version="1.0" encoding="utf-8"?>
<formControlPr xmlns="http://schemas.microsoft.com/office/spreadsheetml/2009/9/main" objectType="CheckBox" fmlaLink="$I$134" lockText="1" noThreeD="1"/>
</file>

<file path=xl/ctrlProps/ctrlProp157.xml><?xml version="1.0" encoding="utf-8"?>
<formControlPr xmlns="http://schemas.microsoft.com/office/spreadsheetml/2009/9/main" objectType="CheckBox" checked="Checked" fmlaLink="$I$135" lockText="1" noThreeD="1"/>
</file>

<file path=xl/ctrlProps/ctrlProp158.xml><?xml version="1.0" encoding="utf-8"?>
<formControlPr xmlns="http://schemas.microsoft.com/office/spreadsheetml/2009/9/main" objectType="CheckBox" checked="Checked" fmlaLink="$X$140" lockText="1" noThreeD="1"/>
</file>

<file path=xl/ctrlProps/ctrlProp159.xml><?xml version="1.0" encoding="utf-8"?>
<formControlPr xmlns="http://schemas.microsoft.com/office/spreadsheetml/2009/9/main" objectType="CheckBox" checked="Checked" fmlaLink="$X$141" lockText="1" noThreeD="1"/>
</file>

<file path=xl/ctrlProps/ctrlProp160.xml><?xml version="1.0" encoding="utf-8"?>
<formControlPr xmlns="http://schemas.microsoft.com/office/spreadsheetml/2009/9/main" objectType="CheckBox" checked="Checked" fmlaLink="$X$142" lockText="1" noThreeD="1"/>
</file>

<file path=xl/ctrlProps/ctrlProp161.xml><?xml version="1.0" encoding="utf-8"?>
<formControlPr xmlns="http://schemas.microsoft.com/office/spreadsheetml/2009/9/main" objectType="CheckBox" checked="Checked" fmlaLink="$X$143" lockText="1" noThreeD="1"/>
</file>

<file path=xl/ctrlProps/ctrlProp162.xml><?xml version="1.0" encoding="utf-8"?>
<formControlPr xmlns="http://schemas.microsoft.com/office/spreadsheetml/2009/9/main" objectType="CheckBox" fmlaLink="$X$138" lockText="1" noThreeD="1"/>
</file>

<file path=xl/ctrlProps/ctrlProp163.xml><?xml version="1.0" encoding="utf-8"?>
<formControlPr xmlns="http://schemas.microsoft.com/office/spreadsheetml/2009/9/main" objectType="CheckBox" checked="Checked" fmlaLink="$X$137" lockText="1" noThreeD="1"/>
</file>

<file path=xl/ctrlProps/ctrlProp164.xml><?xml version="1.0" encoding="utf-8"?>
<formControlPr xmlns="http://schemas.microsoft.com/office/spreadsheetml/2009/9/main" objectType="CheckBox" fmlaLink="$X$139" lockText="1" noThreeD="1"/>
</file>

<file path=xl/ctrlProps/ctrlProp165.xml><?xml version="1.0" encoding="utf-8"?>
<formControlPr xmlns="http://schemas.microsoft.com/office/spreadsheetml/2009/9/main" objectType="CheckBox" checked="Checked" fmlaLink="$Q$129" lockText="1" noThreeD="1"/>
</file>

<file path=xl/ctrlProps/ctrlProp166.xml><?xml version="1.0" encoding="utf-8"?>
<formControlPr xmlns="http://schemas.microsoft.com/office/spreadsheetml/2009/9/main" objectType="CheckBox" checked="Checked" fmlaLink="$Q$130" lockText="1" noThreeD="1"/>
</file>

<file path=xl/ctrlProps/ctrlProp167.xml><?xml version="1.0" encoding="utf-8"?>
<formControlPr xmlns="http://schemas.microsoft.com/office/spreadsheetml/2009/9/main" objectType="CheckBox" checked="Checked" fmlaLink="$Q$131" lockText="1" noThreeD="1"/>
</file>

<file path=xl/ctrlProps/ctrlProp168.xml><?xml version="1.0" encoding="utf-8"?>
<formControlPr xmlns="http://schemas.microsoft.com/office/spreadsheetml/2009/9/main" objectType="CheckBox" checked="Checked" fmlaLink="$Q$132" lockText="1" noThreeD="1"/>
</file>

<file path=xl/ctrlProps/ctrlProp169.xml><?xml version="1.0" encoding="utf-8"?>
<formControlPr xmlns="http://schemas.microsoft.com/office/spreadsheetml/2009/9/main" objectType="CheckBox" checked="Checked" fmlaLink="$Q$133" lockText="1" noThreeD="1"/>
</file>

<file path=xl/ctrlProps/ctrlProp170.xml><?xml version="1.0" encoding="utf-8"?>
<formControlPr xmlns="http://schemas.microsoft.com/office/spreadsheetml/2009/9/main" objectType="CheckBox" checked="Checked" fmlaLink="$Q$134" lockText="1" noThreeD="1"/>
</file>

<file path=xl/ctrlProps/ctrlProp171.xml><?xml version="1.0" encoding="utf-8"?>
<formControlPr xmlns="http://schemas.microsoft.com/office/spreadsheetml/2009/9/main" objectType="CheckBox" checked="Checked" fmlaLink="$Q$135" lockText="1" noThreeD="1"/>
</file>

<file path=xl/ctrlProps/ctrlProp172.xml><?xml version="1.0" encoding="utf-8"?>
<formControlPr xmlns="http://schemas.microsoft.com/office/spreadsheetml/2009/9/main" objectType="CheckBox" fmlaLink="$Q$137" lockText="1" noThreeD="1"/>
</file>

<file path=xl/ctrlProps/ctrlProp173.xml><?xml version="1.0" encoding="utf-8"?>
<formControlPr xmlns="http://schemas.microsoft.com/office/spreadsheetml/2009/9/main" objectType="CheckBox" fmlaLink="$Q$138" lockText="1" noThreeD="1"/>
</file>

<file path=xl/ctrlProps/ctrlProp174.xml><?xml version="1.0" encoding="utf-8"?>
<formControlPr xmlns="http://schemas.microsoft.com/office/spreadsheetml/2009/9/main" objectType="CheckBox" fmlaLink="$Q$139" lockText="1" noThreeD="1"/>
</file>

<file path=xl/ctrlProps/ctrlProp175.xml><?xml version="1.0" encoding="utf-8"?>
<formControlPr xmlns="http://schemas.microsoft.com/office/spreadsheetml/2009/9/main" objectType="CheckBox" checked="Checked" fmlaLink="$Q$140" lockText="1" noThreeD="1"/>
</file>

<file path=xl/ctrlProps/ctrlProp176.xml><?xml version="1.0" encoding="utf-8"?>
<formControlPr xmlns="http://schemas.microsoft.com/office/spreadsheetml/2009/9/main" objectType="CheckBox" checked="Checked" fmlaLink="$Q$136" lockText="1" noThreeD="1"/>
</file>

<file path=xl/ctrlProps/ctrlProp177.xml><?xml version="1.0" encoding="utf-8"?>
<formControlPr xmlns="http://schemas.microsoft.com/office/spreadsheetml/2009/9/main" objectType="CheckBox" checked="Checked" fmlaLink="$I$126" lockText="1" noThreeD="1"/>
</file>

<file path=xl/ctrlProps/ctrlProp178.xml><?xml version="1.0" encoding="utf-8"?>
<formControlPr xmlns="http://schemas.microsoft.com/office/spreadsheetml/2009/9/main" objectType="CheckBox" checked="Checked" fmlaLink="$I$127" lockText="1" noThreeD="1"/>
</file>

<file path=xl/ctrlProps/ctrlProp179.xml><?xml version="1.0" encoding="utf-8"?>
<formControlPr xmlns="http://schemas.microsoft.com/office/spreadsheetml/2009/9/main" objectType="CheckBox" checked="Checked" fmlaLink="$I$128" lockText="1" noThreeD="1"/>
</file>

<file path=xl/ctrlProps/ctrlProp180.xml><?xml version="1.0" encoding="utf-8"?>
<formControlPr xmlns="http://schemas.microsoft.com/office/spreadsheetml/2009/9/main" objectType="CheckBox" fmlaLink="$I$129" lockText="1" noThreeD="1"/>
</file>

<file path=xl/ctrlProps/ctrlProp181.xml><?xml version="1.0" encoding="utf-8"?>
<formControlPr xmlns="http://schemas.microsoft.com/office/spreadsheetml/2009/9/main" objectType="CheckBox" fmlaLink="$I$130" lockText="1" noThreeD="1"/>
</file>

<file path=xl/ctrlProps/ctrlProp182.xml><?xml version="1.0" encoding="utf-8"?>
<formControlPr xmlns="http://schemas.microsoft.com/office/spreadsheetml/2009/9/main" objectType="CheckBox" fmlaLink="$I$131" lockText="1" noThreeD="1"/>
</file>

<file path=xl/ctrlProps/ctrlProp183.xml><?xml version="1.0" encoding="utf-8"?>
<formControlPr xmlns="http://schemas.microsoft.com/office/spreadsheetml/2009/9/main" objectType="CheckBox" checked="Checked" fmlaLink="$I$132" lockText="1" noThreeD="1"/>
</file>

<file path=xl/ctrlProps/ctrlProp184.xml><?xml version="1.0" encoding="utf-8"?>
<formControlPr xmlns="http://schemas.microsoft.com/office/spreadsheetml/2009/9/main" objectType="CheckBox" checked="Checked" fmlaLink="$X$137" lockText="1" noThreeD="1"/>
</file>

<file path=xl/ctrlProps/ctrlProp185.xml><?xml version="1.0" encoding="utf-8"?>
<formControlPr xmlns="http://schemas.microsoft.com/office/spreadsheetml/2009/9/main" objectType="CheckBox" checked="Checked" fmlaLink="$X$138" lockText="1" noThreeD="1"/>
</file>

<file path=xl/ctrlProps/ctrlProp186.xml><?xml version="1.0" encoding="utf-8"?>
<formControlPr xmlns="http://schemas.microsoft.com/office/spreadsheetml/2009/9/main" objectType="CheckBox" checked="Checked" fmlaLink="$X$139" lockText="1" noThreeD="1"/>
</file>

<file path=xl/ctrlProps/ctrlProp187.xml><?xml version="1.0" encoding="utf-8"?>
<formControlPr xmlns="http://schemas.microsoft.com/office/spreadsheetml/2009/9/main" objectType="CheckBox" checked="Checked" fmlaLink="$X$140" lockText="1" noThreeD="1"/>
</file>

<file path=xl/ctrlProps/ctrlProp188.xml><?xml version="1.0" encoding="utf-8"?>
<formControlPr xmlns="http://schemas.microsoft.com/office/spreadsheetml/2009/9/main" objectType="CheckBox" fmlaLink="$X$135" lockText="1" noThreeD="1"/>
</file>

<file path=xl/ctrlProps/ctrlProp189.xml><?xml version="1.0" encoding="utf-8"?>
<formControlPr xmlns="http://schemas.microsoft.com/office/spreadsheetml/2009/9/main" objectType="CheckBox" checked="Checked" fmlaLink="$X$134" lockText="1" noThreeD="1"/>
</file>

<file path=xl/ctrlProps/ctrlProp190.xml><?xml version="1.0" encoding="utf-8"?>
<formControlPr xmlns="http://schemas.microsoft.com/office/spreadsheetml/2009/9/main" objectType="CheckBox" fmlaLink="$X$136" lockText="1" noThreeD="1"/>
</file>

<file path=xl/ctrlProps/ctrlProp191.xml><?xml version="1.0" encoding="utf-8"?>
<formControlPr xmlns="http://schemas.microsoft.com/office/spreadsheetml/2009/9/main" objectType="CheckBox" checked="Checked" fmlaLink="$Q$126" lockText="1" noThreeD="1"/>
</file>

<file path=xl/ctrlProps/ctrlProp192.xml><?xml version="1.0" encoding="utf-8"?>
<formControlPr xmlns="http://schemas.microsoft.com/office/spreadsheetml/2009/9/main" objectType="CheckBox" checked="Checked" fmlaLink="$Q$127" lockText="1" noThreeD="1"/>
</file>

<file path=xl/ctrlProps/ctrlProp193.xml><?xml version="1.0" encoding="utf-8"?>
<formControlPr xmlns="http://schemas.microsoft.com/office/spreadsheetml/2009/9/main" objectType="CheckBox" checked="Checked" fmlaLink="$Q$128" lockText="1" noThreeD="1"/>
</file>

<file path=xl/ctrlProps/ctrlProp194.xml><?xml version="1.0" encoding="utf-8"?>
<formControlPr xmlns="http://schemas.microsoft.com/office/spreadsheetml/2009/9/main" objectType="CheckBox" checked="Checked" fmlaLink="$Q$129" lockText="1" noThreeD="1"/>
</file>

<file path=xl/ctrlProps/ctrlProp195.xml><?xml version="1.0" encoding="utf-8"?>
<formControlPr xmlns="http://schemas.microsoft.com/office/spreadsheetml/2009/9/main" objectType="CheckBox" checked="Checked" fmlaLink="$Q$130" lockText="1" noThreeD="1"/>
</file>

<file path=xl/ctrlProps/ctrlProp196.xml><?xml version="1.0" encoding="utf-8"?>
<formControlPr xmlns="http://schemas.microsoft.com/office/spreadsheetml/2009/9/main" objectType="CheckBox" checked="Checked" fmlaLink="$Q$131" lockText="1" noThreeD="1"/>
</file>

<file path=xl/ctrlProps/ctrlProp197.xml><?xml version="1.0" encoding="utf-8"?>
<formControlPr xmlns="http://schemas.microsoft.com/office/spreadsheetml/2009/9/main" objectType="CheckBox" checked="Checked" fmlaLink="$Q$132" lockText="1" noThreeD="1"/>
</file>

<file path=xl/ctrlProps/ctrlProp198.xml><?xml version="1.0" encoding="utf-8"?>
<formControlPr xmlns="http://schemas.microsoft.com/office/spreadsheetml/2009/9/main" objectType="CheckBox" fmlaLink="$Q$134" lockText="1" noThreeD="1"/>
</file>

<file path=xl/ctrlProps/ctrlProp199.xml><?xml version="1.0" encoding="utf-8"?>
<formControlPr xmlns="http://schemas.microsoft.com/office/spreadsheetml/2009/9/main" objectType="CheckBox" fmlaLink="$Q$135" lockText="1" noThreeD="1"/>
</file>

<file path=xl/ctrlProps/ctrlProp200.xml><?xml version="1.0" encoding="utf-8"?>
<formControlPr xmlns="http://schemas.microsoft.com/office/spreadsheetml/2009/9/main" objectType="CheckBox" fmlaLink="$Q$136" lockText="1" noThreeD="1"/>
</file>

<file path=xl/ctrlProps/ctrlProp201.xml><?xml version="1.0" encoding="utf-8"?>
<formControlPr xmlns="http://schemas.microsoft.com/office/spreadsheetml/2009/9/main" objectType="CheckBox" checked="Checked" fmlaLink="$Q$137" lockText="1" noThreeD="1"/>
</file>

<file path=xl/ctrlProps/ctrlProp202.xml><?xml version="1.0" encoding="utf-8"?>
<formControlPr xmlns="http://schemas.microsoft.com/office/spreadsheetml/2009/9/main" objectType="CheckBox" fmlaLink="$Q$133" lockText="1" noThreeD="1"/>
</file>

<file path=xl/ctrlProps/ctrlProp203.xml><?xml version="1.0" encoding="utf-8"?>
<formControlPr xmlns="http://schemas.microsoft.com/office/spreadsheetml/2009/9/main" objectType="CheckBox" checked="Checked" fmlaLink="$I$128" lockText="1" noThreeD="1"/>
</file>

<file path=xl/ctrlProps/ctrlProp204.xml><?xml version="1.0" encoding="utf-8"?>
<formControlPr xmlns="http://schemas.microsoft.com/office/spreadsheetml/2009/9/main" objectType="CheckBox" checked="Checked" fmlaLink="$I$129" lockText="1" noThreeD="1"/>
</file>

<file path=xl/ctrlProps/ctrlProp205.xml><?xml version="1.0" encoding="utf-8"?>
<formControlPr xmlns="http://schemas.microsoft.com/office/spreadsheetml/2009/9/main" objectType="CheckBox" checked="Checked" fmlaLink="$I$130" lockText="1" noThreeD="1"/>
</file>

<file path=xl/ctrlProps/ctrlProp206.xml><?xml version="1.0" encoding="utf-8"?>
<formControlPr xmlns="http://schemas.microsoft.com/office/spreadsheetml/2009/9/main" objectType="CheckBox" fmlaLink="$I$131" lockText="1" noThreeD="1"/>
</file>

<file path=xl/ctrlProps/ctrlProp207.xml><?xml version="1.0" encoding="utf-8"?>
<formControlPr xmlns="http://schemas.microsoft.com/office/spreadsheetml/2009/9/main" objectType="CheckBox" fmlaLink="$I$132" lockText="1" noThreeD="1"/>
</file>

<file path=xl/ctrlProps/ctrlProp208.xml><?xml version="1.0" encoding="utf-8"?>
<formControlPr xmlns="http://schemas.microsoft.com/office/spreadsheetml/2009/9/main" objectType="CheckBox" fmlaLink="$I$133" lockText="1" noThreeD="1"/>
</file>

<file path=xl/ctrlProps/ctrlProp209.xml><?xml version="1.0" encoding="utf-8"?>
<formControlPr xmlns="http://schemas.microsoft.com/office/spreadsheetml/2009/9/main" objectType="CheckBox" checked="Checked" fmlaLink="$I$134" lockText="1" noThreeD="1"/>
</file>

<file path=xl/ctrlProps/ctrlProp210.xml><?xml version="1.0" encoding="utf-8"?>
<formControlPr xmlns="http://schemas.microsoft.com/office/spreadsheetml/2009/9/main" objectType="CheckBox" checked="Checked" fmlaLink="$X$139" lockText="1" noThreeD="1"/>
</file>

<file path=xl/ctrlProps/ctrlProp211.xml><?xml version="1.0" encoding="utf-8"?>
<formControlPr xmlns="http://schemas.microsoft.com/office/spreadsheetml/2009/9/main" objectType="CheckBox" checked="Checked" fmlaLink="$X$140" lockText="1" noThreeD="1"/>
</file>

<file path=xl/ctrlProps/ctrlProp212.xml><?xml version="1.0" encoding="utf-8"?>
<formControlPr xmlns="http://schemas.microsoft.com/office/spreadsheetml/2009/9/main" objectType="CheckBox" checked="Checked" fmlaLink="$X$141" lockText="1" noThreeD="1"/>
</file>

<file path=xl/ctrlProps/ctrlProp213.xml><?xml version="1.0" encoding="utf-8"?>
<formControlPr xmlns="http://schemas.microsoft.com/office/spreadsheetml/2009/9/main" objectType="CheckBox" checked="Checked" fmlaLink="$X$142" lockText="1" noThreeD="1"/>
</file>

<file path=xl/ctrlProps/ctrlProp214.xml><?xml version="1.0" encoding="utf-8"?>
<formControlPr xmlns="http://schemas.microsoft.com/office/spreadsheetml/2009/9/main" objectType="CheckBox" fmlaLink="$X$137" lockText="1" noThreeD="1"/>
</file>

<file path=xl/ctrlProps/ctrlProp215.xml><?xml version="1.0" encoding="utf-8"?>
<formControlPr xmlns="http://schemas.microsoft.com/office/spreadsheetml/2009/9/main" objectType="CheckBox" checked="Checked" fmlaLink="$X$136" lockText="1" noThreeD="1"/>
</file>

<file path=xl/ctrlProps/ctrlProp216.xml><?xml version="1.0" encoding="utf-8"?>
<formControlPr xmlns="http://schemas.microsoft.com/office/spreadsheetml/2009/9/main" objectType="CheckBox" fmlaLink="$X$138" lockText="1" noThreeD="1"/>
</file>

<file path=xl/ctrlProps/ctrlProp217.xml><?xml version="1.0" encoding="utf-8"?>
<formControlPr xmlns="http://schemas.microsoft.com/office/spreadsheetml/2009/9/main" objectType="CheckBox" checked="Checked" fmlaLink="$Q$128" lockText="1" noThreeD="1"/>
</file>

<file path=xl/ctrlProps/ctrlProp218.xml><?xml version="1.0" encoding="utf-8"?>
<formControlPr xmlns="http://schemas.microsoft.com/office/spreadsheetml/2009/9/main" objectType="CheckBox" checked="Checked" fmlaLink="$Q$129" lockText="1" noThreeD="1"/>
</file>

<file path=xl/ctrlProps/ctrlProp219.xml><?xml version="1.0" encoding="utf-8"?>
<formControlPr xmlns="http://schemas.microsoft.com/office/spreadsheetml/2009/9/main" objectType="CheckBox" checked="Checked" fmlaLink="$Q$130" lockText="1" noThreeD="1"/>
</file>

<file path=xl/ctrlProps/ctrlProp220.xml><?xml version="1.0" encoding="utf-8"?>
<formControlPr xmlns="http://schemas.microsoft.com/office/spreadsheetml/2009/9/main" objectType="CheckBox" checked="Checked" fmlaLink="$Q$131" lockText="1" noThreeD="1"/>
</file>

<file path=xl/ctrlProps/ctrlProp221.xml><?xml version="1.0" encoding="utf-8"?>
<formControlPr xmlns="http://schemas.microsoft.com/office/spreadsheetml/2009/9/main" objectType="CheckBox" checked="Checked" fmlaLink="$Q$132" lockText="1" noThreeD="1"/>
</file>

<file path=xl/ctrlProps/ctrlProp222.xml><?xml version="1.0" encoding="utf-8"?>
<formControlPr xmlns="http://schemas.microsoft.com/office/spreadsheetml/2009/9/main" objectType="CheckBox" checked="Checked" fmlaLink="$Q$133" lockText="1" noThreeD="1"/>
</file>

<file path=xl/ctrlProps/ctrlProp223.xml><?xml version="1.0" encoding="utf-8"?>
<formControlPr xmlns="http://schemas.microsoft.com/office/spreadsheetml/2009/9/main" objectType="CheckBox" checked="Checked" fmlaLink="$Q$134" lockText="1" noThreeD="1"/>
</file>

<file path=xl/ctrlProps/ctrlProp224.xml><?xml version="1.0" encoding="utf-8"?>
<formControlPr xmlns="http://schemas.microsoft.com/office/spreadsheetml/2009/9/main" objectType="CheckBox" fmlaLink="$Q$136" lockText="1" noThreeD="1"/>
</file>

<file path=xl/ctrlProps/ctrlProp225.xml><?xml version="1.0" encoding="utf-8"?>
<formControlPr xmlns="http://schemas.microsoft.com/office/spreadsheetml/2009/9/main" objectType="CheckBox" fmlaLink="$Q$137" lockText="1" noThreeD="1"/>
</file>

<file path=xl/ctrlProps/ctrlProp226.xml><?xml version="1.0" encoding="utf-8"?>
<formControlPr xmlns="http://schemas.microsoft.com/office/spreadsheetml/2009/9/main" objectType="CheckBox" fmlaLink="$Q$138" lockText="1" noThreeD="1"/>
</file>

<file path=xl/ctrlProps/ctrlProp227.xml><?xml version="1.0" encoding="utf-8"?>
<formControlPr xmlns="http://schemas.microsoft.com/office/spreadsheetml/2009/9/main" objectType="CheckBox" checked="Checked" fmlaLink="$Q$139" lockText="1" noThreeD="1"/>
</file>

<file path=xl/ctrlProps/ctrlProp228.xml><?xml version="1.0" encoding="utf-8"?>
<formControlPr xmlns="http://schemas.microsoft.com/office/spreadsheetml/2009/9/main" objectType="CheckBox" checked="Checked" fmlaLink="$Q$13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1555712</xdr:colOff>
      <xdr:row>4</xdr:row>
      <xdr:rowOff>54615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313765"/>
          <a:ext cx="3115235" cy="364569"/>
        </a:xfrm>
        <a:prstGeom prst="rect">
          <a:avLst/>
        </a:prstGeom>
      </xdr:spPr>
    </xdr:pic>
    <xdr:clientData/>
  </xdr:twoCellAnchor>
  <xdr:twoCellAnchor editAs="oneCell">
    <xdr:from>
      <xdr:col>8</xdr:col>
      <xdr:colOff>1602444</xdr:colOff>
      <xdr:row>3</xdr:row>
      <xdr:rowOff>0</xdr:rowOff>
    </xdr:from>
    <xdr:to>
      <xdr:col>9</xdr:col>
      <xdr:colOff>1202805</xdr:colOff>
      <xdr:row>6</xdr:row>
      <xdr:rowOff>22035</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7956179" y="470647"/>
          <a:ext cx="2629760" cy="4888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1465</xdr:colOff>
      <xdr:row>35</xdr:row>
      <xdr:rowOff>115962</xdr:rowOff>
    </xdr:from>
    <xdr:ext cx="1908000" cy="468000"/>
    <xdr:sp macro="" textlink="$D$81">
      <xdr:nvSpPr>
        <xdr:cNvPr id="2" name="Textfeld 1">
          <a:extLst>
            <a:ext uri="{FF2B5EF4-FFF2-40B4-BE49-F238E27FC236}">
              <a16:creationId xmlns:a16="http://schemas.microsoft.com/office/drawing/2014/main" id="{00000000-0008-0000-0100-000002000000}"/>
            </a:ext>
          </a:extLst>
        </xdr:cNvPr>
        <xdr:cNvSpPr txBox="1"/>
      </xdr:nvSpPr>
      <xdr:spPr>
        <a:xfrm>
          <a:off x="10147661" y="6592962"/>
          <a:ext cx="1908000" cy="468000"/>
        </a:xfrm>
        <a:prstGeom prst="rect">
          <a:avLst/>
        </a:prstGeom>
        <a:noFill/>
      </xdr:spPr>
      <xdr:txBody>
        <a:bodyPr vertOverflow="clip" horzOverflow="clip" wrap="square" lIns="0" tIns="0" rIns="0" bIns="0" rtlCol="0" anchor="t">
          <a:noAutofit/>
        </a:bodyPr>
        <a:lstStyle/>
        <a:p>
          <a:fld id="{A8798845-A2C8-45DD-A818-1D4232B06508}"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9</xdr:col>
      <xdr:colOff>623536</xdr:colOff>
      <xdr:row>19</xdr:row>
      <xdr:rowOff>8287</xdr:rowOff>
    </xdr:from>
    <xdr:ext cx="1980000" cy="1044000"/>
    <xdr:sp macro="" textlink="$D$82">
      <xdr:nvSpPr>
        <xdr:cNvPr id="4" name="Textfeld 3">
          <a:extLst>
            <a:ext uri="{FF2B5EF4-FFF2-40B4-BE49-F238E27FC236}">
              <a16:creationId xmlns:a16="http://schemas.microsoft.com/office/drawing/2014/main" id="{00000000-0008-0000-0100-000004000000}"/>
            </a:ext>
          </a:extLst>
        </xdr:cNvPr>
        <xdr:cNvSpPr txBox="1"/>
      </xdr:nvSpPr>
      <xdr:spPr>
        <a:xfrm>
          <a:off x="10082275" y="3669200"/>
          <a:ext cx="1980000" cy="1044000"/>
        </a:xfrm>
        <a:prstGeom prst="rect">
          <a:avLst/>
        </a:prstGeom>
        <a:noFill/>
      </xdr:spPr>
      <xdr:txBody>
        <a:bodyPr vertOverflow="clip" horzOverflow="clip" wrap="square" rtlCol="0" anchor="t">
          <a:noAutofit/>
        </a:bodyPr>
        <a:lstStyle/>
        <a:p>
          <a:fld id="{1DD90042-5239-425A-AB60-B364E80AEAEE}" type="TxLink">
            <a:rPr lang="en-US" sz="900" b="0" i="0" u="none" strike="noStrike" dirty="0" err="1" smtClean="0">
              <a:solidFill>
                <a:schemeClr val="accent4">
                  <a:lumMod val="90000"/>
                  <a:lumOff val="10000"/>
                </a:schemeClr>
              </a:solidFill>
              <a:latin typeface="Arial"/>
              <a:cs typeface="Arial"/>
            </a:rPr>
            <a:pPr/>
            <a:t> </a:t>
          </a:fld>
          <a:endParaRPr lang="en-GB" sz="1050" dirty="0" err="1">
            <a:solidFill>
              <a:schemeClr val="accent4">
                <a:lumMod val="90000"/>
                <a:lumOff val="10000"/>
              </a:schemeClr>
            </a:solidFill>
          </a:endParaRPr>
        </a:p>
      </xdr:txBody>
    </xdr:sp>
    <xdr:clientData/>
  </xdr:oneCellAnchor>
  <xdr:oneCellAnchor>
    <xdr:from>
      <xdr:col>9</xdr:col>
      <xdr:colOff>623536</xdr:colOff>
      <xdr:row>26</xdr:row>
      <xdr:rowOff>6233</xdr:rowOff>
    </xdr:from>
    <xdr:ext cx="1980000" cy="1044000"/>
    <xdr:sp macro="" textlink="$D$83">
      <xdr:nvSpPr>
        <xdr:cNvPr id="5" name="Textfeld 4">
          <a:extLst>
            <a:ext uri="{FF2B5EF4-FFF2-40B4-BE49-F238E27FC236}">
              <a16:creationId xmlns:a16="http://schemas.microsoft.com/office/drawing/2014/main" id="{00000000-0008-0000-0100-000005000000}"/>
            </a:ext>
          </a:extLst>
        </xdr:cNvPr>
        <xdr:cNvSpPr txBox="1"/>
      </xdr:nvSpPr>
      <xdr:spPr>
        <a:xfrm>
          <a:off x="10082275" y="4992363"/>
          <a:ext cx="1980000" cy="1044000"/>
        </a:xfrm>
        <a:prstGeom prst="rect">
          <a:avLst/>
        </a:prstGeom>
        <a:noFill/>
      </xdr:spPr>
      <xdr:txBody>
        <a:bodyPr vertOverflow="clip" horzOverflow="clip" wrap="square" rtlCol="0" anchor="t">
          <a:noAutofit/>
        </a:bodyPr>
        <a:lstStyle/>
        <a:p>
          <a:fld id="{86600811-369B-4BB8-8C1C-0D290BC6199D}"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10</xdr:col>
      <xdr:colOff>1465</xdr:colOff>
      <xdr:row>39</xdr:row>
      <xdr:rowOff>74534</xdr:rowOff>
    </xdr:from>
    <xdr:ext cx="1908000" cy="468000"/>
    <xdr:sp macro="" textlink="$D$84">
      <xdr:nvSpPr>
        <xdr:cNvPr id="3" name="Textfeld 2">
          <a:extLst>
            <a:ext uri="{FF2B5EF4-FFF2-40B4-BE49-F238E27FC236}">
              <a16:creationId xmlns:a16="http://schemas.microsoft.com/office/drawing/2014/main" id="{00000000-0008-0000-0100-000003000000}"/>
            </a:ext>
          </a:extLst>
        </xdr:cNvPr>
        <xdr:cNvSpPr txBox="1"/>
      </xdr:nvSpPr>
      <xdr:spPr>
        <a:xfrm>
          <a:off x="10147661" y="7346664"/>
          <a:ext cx="1908000" cy="468000"/>
        </a:xfrm>
        <a:prstGeom prst="rect">
          <a:avLst/>
        </a:prstGeom>
        <a:noFill/>
      </xdr:spPr>
      <xdr:txBody>
        <a:bodyPr vertOverflow="clip" horzOverflow="clip" wrap="square" lIns="0" tIns="0" rIns="0" bIns="0" rtlCol="0" anchor="t">
          <a:noAutofit/>
        </a:bodyPr>
        <a:lstStyle/>
        <a:p>
          <a:fld id="{9459B6EA-864B-4F45-9240-0F8608E8ABEA}"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10</xdr:col>
      <xdr:colOff>1465</xdr:colOff>
      <xdr:row>44</xdr:row>
      <xdr:rowOff>49689</xdr:rowOff>
    </xdr:from>
    <xdr:ext cx="1908000" cy="579788"/>
    <xdr:sp macro="" textlink="$D$85">
      <xdr:nvSpPr>
        <xdr:cNvPr id="6" name="Textfeld 5">
          <a:extLst>
            <a:ext uri="{FF2B5EF4-FFF2-40B4-BE49-F238E27FC236}">
              <a16:creationId xmlns:a16="http://schemas.microsoft.com/office/drawing/2014/main" id="{00000000-0008-0000-0100-000006000000}"/>
            </a:ext>
          </a:extLst>
        </xdr:cNvPr>
        <xdr:cNvSpPr txBox="1"/>
      </xdr:nvSpPr>
      <xdr:spPr>
        <a:xfrm>
          <a:off x="10147661" y="8266037"/>
          <a:ext cx="1908000" cy="579788"/>
        </a:xfrm>
        <a:prstGeom prst="rect">
          <a:avLst/>
        </a:prstGeom>
        <a:noFill/>
      </xdr:spPr>
      <xdr:txBody>
        <a:bodyPr vertOverflow="clip" horzOverflow="clip" wrap="square" lIns="0" tIns="0" rIns="0" bIns="0" rtlCol="0" anchor="t">
          <a:noAutofit/>
        </a:bodyPr>
        <a:lstStyle/>
        <a:p>
          <a:fld id="{64E843A4-BC84-42F3-95D2-02E7901A2D26}"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10</xdr:col>
      <xdr:colOff>1465</xdr:colOff>
      <xdr:row>58</xdr:row>
      <xdr:rowOff>185527</xdr:rowOff>
    </xdr:from>
    <xdr:ext cx="1908000" cy="468000"/>
    <xdr:sp macro="" textlink="$D$86">
      <xdr:nvSpPr>
        <xdr:cNvPr id="7" name="Textfeld 6">
          <a:extLst>
            <a:ext uri="{FF2B5EF4-FFF2-40B4-BE49-F238E27FC236}">
              <a16:creationId xmlns:a16="http://schemas.microsoft.com/office/drawing/2014/main" id="{00000000-0008-0000-0100-000007000000}"/>
            </a:ext>
          </a:extLst>
        </xdr:cNvPr>
        <xdr:cNvSpPr txBox="1"/>
      </xdr:nvSpPr>
      <xdr:spPr>
        <a:xfrm>
          <a:off x="10147661" y="11002614"/>
          <a:ext cx="1908000" cy="468000"/>
        </a:xfrm>
        <a:prstGeom prst="rect">
          <a:avLst/>
        </a:prstGeom>
        <a:noFill/>
      </xdr:spPr>
      <xdr:txBody>
        <a:bodyPr vertOverflow="clip" horzOverflow="clip" wrap="square" lIns="0" tIns="0" rIns="0" bIns="0" rtlCol="0" anchor="t">
          <a:noAutofit/>
        </a:bodyPr>
        <a:lstStyle/>
        <a:p>
          <a:fld id="{B0EE5746-465F-43B6-A8E2-C4AB3DBD4143}"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10</xdr:col>
      <xdr:colOff>1465</xdr:colOff>
      <xdr:row>65</xdr:row>
      <xdr:rowOff>48040</xdr:rowOff>
    </xdr:from>
    <xdr:ext cx="1908000" cy="468000"/>
    <xdr:sp macro="" textlink="$D$87">
      <xdr:nvSpPr>
        <xdr:cNvPr id="8" name="Textfeld 7">
          <a:extLst>
            <a:ext uri="{FF2B5EF4-FFF2-40B4-BE49-F238E27FC236}">
              <a16:creationId xmlns:a16="http://schemas.microsoft.com/office/drawing/2014/main" id="{00000000-0008-0000-0100-000008000000}"/>
            </a:ext>
          </a:extLst>
        </xdr:cNvPr>
        <xdr:cNvSpPr txBox="1"/>
      </xdr:nvSpPr>
      <xdr:spPr>
        <a:xfrm>
          <a:off x="10147661" y="12182062"/>
          <a:ext cx="1908000" cy="468000"/>
        </a:xfrm>
        <a:prstGeom prst="rect">
          <a:avLst/>
        </a:prstGeom>
        <a:noFill/>
      </xdr:spPr>
      <xdr:txBody>
        <a:bodyPr vertOverflow="clip" horzOverflow="clip" wrap="square" lIns="0" tIns="0" rIns="0" bIns="0" rtlCol="0" anchor="t">
          <a:noAutofit/>
        </a:bodyPr>
        <a:lstStyle/>
        <a:p>
          <a:fld id="{20340835-117F-4C40-A25F-28A55B99CAFB}"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10</xdr:col>
      <xdr:colOff>1465</xdr:colOff>
      <xdr:row>70</xdr:row>
      <xdr:rowOff>101046</xdr:rowOff>
    </xdr:from>
    <xdr:ext cx="1908000" cy="468000"/>
    <xdr:sp macro="" textlink="$D$88">
      <xdr:nvSpPr>
        <xdr:cNvPr id="9" name="Textfeld 8">
          <a:extLst>
            <a:ext uri="{FF2B5EF4-FFF2-40B4-BE49-F238E27FC236}">
              <a16:creationId xmlns:a16="http://schemas.microsoft.com/office/drawing/2014/main" id="{00000000-0008-0000-0100-000009000000}"/>
            </a:ext>
          </a:extLst>
        </xdr:cNvPr>
        <xdr:cNvSpPr txBox="1"/>
      </xdr:nvSpPr>
      <xdr:spPr>
        <a:xfrm>
          <a:off x="10147661" y="13179285"/>
          <a:ext cx="1908000" cy="468000"/>
        </a:xfrm>
        <a:prstGeom prst="rect">
          <a:avLst/>
        </a:prstGeom>
        <a:noFill/>
      </xdr:spPr>
      <xdr:txBody>
        <a:bodyPr vertOverflow="clip" horzOverflow="clip" wrap="square" lIns="0" tIns="0" rIns="0" bIns="0" rtlCol="0" anchor="t">
          <a:noAutofit/>
        </a:bodyPr>
        <a:lstStyle/>
        <a:p>
          <a:fld id="{26C14205-DB06-418B-B94E-F927D889CE4D}"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10</xdr:col>
      <xdr:colOff>1465</xdr:colOff>
      <xdr:row>73</xdr:row>
      <xdr:rowOff>96081</xdr:rowOff>
    </xdr:from>
    <xdr:ext cx="1908000" cy="468000"/>
    <xdr:sp macro="" textlink="$D$89">
      <xdr:nvSpPr>
        <xdr:cNvPr id="10" name="Textfeld 9">
          <a:extLst>
            <a:ext uri="{FF2B5EF4-FFF2-40B4-BE49-F238E27FC236}">
              <a16:creationId xmlns:a16="http://schemas.microsoft.com/office/drawing/2014/main" id="{00000000-0008-0000-0100-00000A000000}"/>
            </a:ext>
          </a:extLst>
        </xdr:cNvPr>
        <xdr:cNvSpPr txBox="1"/>
      </xdr:nvSpPr>
      <xdr:spPr>
        <a:xfrm>
          <a:off x="10147661" y="13687842"/>
          <a:ext cx="1908000" cy="468000"/>
        </a:xfrm>
        <a:prstGeom prst="rect">
          <a:avLst/>
        </a:prstGeom>
        <a:noFill/>
      </xdr:spPr>
      <xdr:txBody>
        <a:bodyPr vertOverflow="clip" horzOverflow="clip" wrap="square" lIns="0" tIns="0" rIns="0" bIns="0" rtlCol="0" anchor="t">
          <a:noAutofit/>
        </a:bodyPr>
        <a:lstStyle/>
        <a:p>
          <a:fld id="{B60C8604-BF7A-42B7-9B13-1D5DF31A9C6C}"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twoCellAnchor>
    <xdr:from>
      <xdr:col>9</xdr:col>
      <xdr:colOff>1186544</xdr:colOff>
      <xdr:row>57</xdr:row>
      <xdr:rowOff>43545</xdr:rowOff>
    </xdr:from>
    <xdr:to>
      <xdr:col>10</xdr:col>
      <xdr:colOff>1300843</xdr:colOff>
      <xdr:row>61</xdr:row>
      <xdr:rowOff>85727</xdr:rowOff>
    </xdr:to>
    <xdr:sp macro="" textlink="$K$83">
      <xdr:nvSpPr>
        <xdr:cNvPr id="11" name="Textfeld 10">
          <a:extLst>
            <a:ext uri="{FF2B5EF4-FFF2-40B4-BE49-F238E27FC236}">
              <a16:creationId xmlns:a16="http://schemas.microsoft.com/office/drawing/2014/main" id="{00000000-0008-0000-0100-00000B000000}"/>
            </a:ext>
          </a:extLst>
        </xdr:cNvPr>
        <xdr:cNvSpPr txBox="1"/>
      </xdr:nvSpPr>
      <xdr:spPr>
        <a:xfrm>
          <a:off x="10629901" y="11106152"/>
          <a:ext cx="1366156" cy="736146"/>
        </a:xfrm>
        <a:prstGeom prst="rect">
          <a:avLst/>
        </a:prstGeom>
        <a:noFill/>
        <a:ln>
          <a:solidFill>
            <a:schemeClr val="bg1"/>
          </a:solidFill>
        </a:ln>
      </xdr:spPr>
      <xdr:txBody>
        <a:bodyPr vertOverflow="clip" horzOverflow="clip" wrap="square" rtlCol="0" anchor="t">
          <a:noAutofit/>
        </a:bodyPr>
        <a:lstStyle/>
        <a:p>
          <a:pPr algn="l"/>
          <a:fld id="{DBD63111-8C1B-4515-B951-2293F8E717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twoCellAnchor>
    <xdr:from>
      <xdr:col>9</xdr:col>
      <xdr:colOff>638175</xdr:colOff>
      <xdr:row>48</xdr:row>
      <xdr:rowOff>26913</xdr:rowOff>
    </xdr:from>
    <xdr:to>
      <xdr:col>10</xdr:col>
      <xdr:colOff>1581150</xdr:colOff>
      <xdr:row>51</xdr:row>
      <xdr:rowOff>9526</xdr:rowOff>
    </xdr:to>
    <xdr:sp macro="" textlink="$K$82">
      <xdr:nvSpPr>
        <xdr:cNvPr id="12" name="Textfeld 11">
          <a:extLst>
            <a:ext uri="{FF2B5EF4-FFF2-40B4-BE49-F238E27FC236}">
              <a16:creationId xmlns:a16="http://schemas.microsoft.com/office/drawing/2014/main" id="{00000000-0008-0000-0100-00000C000000}"/>
            </a:ext>
          </a:extLst>
        </xdr:cNvPr>
        <xdr:cNvSpPr txBox="1"/>
      </xdr:nvSpPr>
      <xdr:spPr>
        <a:xfrm>
          <a:off x="10096500" y="9085188"/>
          <a:ext cx="1628775" cy="582688"/>
        </a:xfrm>
        <a:prstGeom prst="rect">
          <a:avLst/>
        </a:prstGeom>
        <a:noFill/>
        <a:ln>
          <a:solidFill>
            <a:schemeClr val="bg1"/>
          </a:solidFill>
        </a:ln>
      </xdr:spPr>
      <xdr:txBody>
        <a:bodyPr vertOverflow="clip" horzOverflow="clip" wrap="square" rtlCol="0" anchor="t">
          <a:noAutofit/>
        </a:bodyPr>
        <a:lstStyle/>
        <a:p>
          <a:pPr algn="l"/>
          <a:fld id="{286C9B7C-2B0F-4743-A673-23669128C1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560292</xdr:colOff>
      <xdr:row>35</xdr:row>
      <xdr:rowOff>117661</xdr:rowOff>
    </xdr:from>
    <xdr:to>
      <xdr:col>8</xdr:col>
      <xdr:colOff>539185</xdr:colOff>
      <xdr:row>62</xdr:row>
      <xdr:rowOff>28948</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799740</xdr:colOff>
      <xdr:row>39</xdr:row>
      <xdr:rowOff>33094</xdr:rowOff>
    </xdr:from>
    <xdr:to>
      <xdr:col>15</xdr:col>
      <xdr:colOff>778217</xdr:colOff>
      <xdr:row>62</xdr:row>
      <xdr:rowOff>57523</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523875</xdr:colOff>
          <xdr:row>71</xdr:row>
          <xdr:rowOff>28575</xdr:rowOff>
        </xdr:from>
        <xdr:to>
          <xdr:col>2</xdr:col>
          <xdr:colOff>704850</xdr:colOff>
          <xdr:row>72</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6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72</xdr:row>
          <xdr:rowOff>28575</xdr:rowOff>
        </xdr:from>
        <xdr:to>
          <xdr:col>2</xdr:col>
          <xdr:colOff>704850</xdr:colOff>
          <xdr:row>72</xdr:row>
          <xdr:rowOff>190500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6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73</xdr:row>
          <xdr:rowOff>28575</xdr:rowOff>
        </xdr:from>
        <xdr:to>
          <xdr:col>2</xdr:col>
          <xdr:colOff>704850</xdr:colOff>
          <xdr:row>73</xdr:row>
          <xdr:rowOff>180975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6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74</xdr:row>
          <xdr:rowOff>19050</xdr:rowOff>
        </xdr:from>
        <xdr:to>
          <xdr:col>2</xdr:col>
          <xdr:colOff>704850</xdr:colOff>
          <xdr:row>74</xdr:row>
          <xdr:rowOff>190500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6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75</xdr:row>
          <xdr:rowOff>19050</xdr:rowOff>
        </xdr:from>
        <xdr:to>
          <xdr:col>2</xdr:col>
          <xdr:colOff>704850</xdr:colOff>
          <xdr:row>75</xdr:row>
          <xdr:rowOff>180975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6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76</xdr:row>
          <xdr:rowOff>0</xdr:rowOff>
        </xdr:from>
        <xdr:to>
          <xdr:col>2</xdr:col>
          <xdr:colOff>704850</xdr:colOff>
          <xdr:row>76</xdr:row>
          <xdr:rowOff>180975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6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77</xdr:row>
          <xdr:rowOff>9525</xdr:rowOff>
        </xdr:from>
        <xdr:to>
          <xdr:col>2</xdr:col>
          <xdr:colOff>704850</xdr:colOff>
          <xdr:row>77</xdr:row>
          <xdr:rowOff>190500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6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35</xdr:row>
      <xdr:rowOff>117663</xdr:rowOff>
    </xdr:from>
    <xdr:to>
      <xdr:col>25</xdr:col>
      <xdr:colOff>445249</xdr:colOff>
      <xdr:row>62</xdr:row>
      <xdr:rowOff>28948</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18</xdr:col>
          <xdr:colOff>457200</xdr:colOff>
          <xdr:row>82</xdr:row>
          <xdr:rowOff>0</xdr:rowOff>
        </xdr:from>
        <xdr:to>
          <xdr:col>18</xdr:col>
          <xdr:colOff>666750</xdr:colOff>
          <xdr:row>82</xdr:row>
          <xdr:rowOff>180975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6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83</xdr:row>
          <xdr:rowOff>19050</xdr:rowOff>
        </xdr:from>
        <xdr:to>
          <xdr:col>19</xdr:col>
          <xdr:colOff>0</xdr:colOff>
          <xdr:row>84</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6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84</xdr:row>
          <xdr:rowOff>19050</xdr:rowOff>
        </xdr:from>
        <xdr:to>
          <xdr:col>19</xdr:col>
          <xdr:colOff>0</xdr:colOff>
          <xdr:row>85</xdr:row>
          <xdr:rowOff>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6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85</xdr:row>
          <xdr:rowOff>9525</xdr:rowOff>
        </xdr:from>
        <xdr:to>
          <xdr:col>19</xdr:col>
          <xdr:colOff>0</xdr:colOff>
          <xdr:row>85</xdr:row>
          <xdr:rowOff>190500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6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80</xdr:row>
          <xdr:rowOff>9525</xdr:rowOff>
        </xdr:from>
        <xdr:to>
          <xdr:col>18</xdr:col>
          <xdr:colOff>666750</xdr:colOff>
          <xdr:row>81</xdr:row>
          <xdr:rowOff>9525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6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79</xdr:row>
          <xdr:rowOff>0</xdr:rowOff>
        </xdr:from>
        <xdr:to>
          <xdr:col>18</xdr:col>
          <xdr:colOff>666750</xdr:colOff>
          <xdr:row>80</xdr:row>
          <xdr:rowOff>9525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6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81</xdr:row>
          <xdr:rowOff>9525</xdr:rowOff>
        </xdr:from>
        <xdr:to>
          <xdr:col>18</xdr:col>
          <xdr:colOff>666750</xdr:colOff>
          <xdr:row>82</xdr:row>
          <xdr:rowOff>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6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673432</xdr:colOff>
      <xdr:row>106</xdr:row>
      <xdr:rowOff>90567</xdr:rowOff>
    </xdr:from>
    <xdr:to>
      <xdr:col>16</xdr:col>
      <xdr:colOff>141067</xdr:colOff>
      <xdr:row>130</xdr:row>
      <xdr:rowOff>14600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514350</xdr:colOff>
          <xdr:row>79</xdr:row>
          <xdr:rowOff>152400</xdr:rowOff>
        </xdr:from>
        <xdr:to>
          <xdr:col>10</xdr:col>
          <xdr:colOff>723900</xdr:colOff>
          <xdr:row>81</xdr:row>
          <xdr:rowOff>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6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80</xdr:row>
          <xdr:rowOff>171450</xdr:rowOff>
        </xdr:from>
        <xdr:to>
          <xdr:col>10</xdr:col>
          <xdr:colOff>723900</xdr:colOff>
          <xdr:row>81</xdr:row>
          <xdr:rowOff>190500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6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81</xdr:row>
          <xdr:rowOff>180975</xdr:rowOff>
        </xdr:from>
        <xdr:to>
          <xdr:col>10</xdr:col>
          <xdr:colOff>723900</xdr:colOff>
          <xdr:row>82</xdr:row>
          <xdr:rowOff>190500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6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82</xdr:row>
          <xdr:rowOff>180975</xdr:rowOff>
        </xdr:from>
        <xdr:to>
          <xdr:col>10</xdr:col>
          <xdr:colOff>723900</xdr:colOff>
          <xdr:row>84</xdr:row>
          <xdr:rowOff>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6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83</xdr:row>
          <xdr:rowOff>180975</xdr:rowOff>
        </xdr:from>
        <xdr:to>
          <xdr:col>10</xdr:col>
          <xdr:colOff>723900</xdr:colOff>
          <xdr:row>85</xdr:row>
          <xdr:rowOff>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6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84</xdr:row>
          <xdr:rowOff>180975</xdr:rowOff>
        </xdr:from>
        <xdr:to>
          <xdr:col>10</xdr:col>
          <xdr:colOff>723900</xdr:colOff>
          <xdr:row>86</xdr:row>
          <xdr:rowOff>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6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85</xdr:row>
          <xdr:rowOff>180975</xdr:rowOff>
        </xdr:from>
        <xdr:to>
          <xdr:col>10</xdr:col>
          <xdr:colOff>723900</xdr:colOff>
          <xdr:row>87</xdr:row>
          <xdr:rowOff>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6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86</xdr:row>
          <xdr:rowOff>190500</xdr:rowOff>
        </xdr:from>
        <xdr:to>
          <xdr:col>10</xdr:col>
          <xdr:colOff>723900</xdr:colOff>
          <xdr:row>87</xdr:row>
          <xdr:rowOff>190500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6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87</xdr:row>
          <xdr:rowOff>180975</xdr:rowOff>
        </xdr:from>
        <xdr:to>
          <xdr:col>10</xdr:col>
          <xdr:colOff>723900</xdr:colOff>
          <xdr:row>88</xdr:row>
          <xdr:rowOff>190500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6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88</xdr:row>
          <xdr:rowOff>171450</xdr:rowOff>
        </xdr:from>
        <xdr:to>
          <xdr:col>10</xdr:col>
          <xdr:colOff>723900</xdr:colOff>
          <xdr:row>89</xdr:row>
          <xdr:rowOff>180975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6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89</xdr:row>
          <xdr:rowOff>171450</xdr:rowOff>
        </xdr:from>
        <xdr:to>
          <xdr:col>10</xdr:col>
          <xdr:colOff>723900</xdr:colOff>
          <xdr:row>90</xdr:row>
          <xdr:rowOff>180975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6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707571</xdr:colOff>
      <xdr:row>77</xdr:row>
      <xdr:rowOff>76042</xdr:rowOff>
    </xdr:from>
    <xdr:to>
      <xdr:col>10</xdr:col>
      <xdr:colOff>762000</xdr:colOff>
      <xdr:row>91</xdr:row>
      <xdr:rowOff>155282</xdr:rowOff>
    </xdr:to>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8618924" y="11842218"/>
          <a:ext cx="872458" cy="2891917"/>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9</xdr:col>
      <xdr:colOff>415636</xdr:colOff>
      <xdr:row>29</xdr:row>
      <xdr:rowOff>121226</xdr:rowOff>
    </xdr:from>
    <xdr:to>
      <xdr:col>9</xdr:col>
      <xdr:colOff>523636</xdr:colOff>
      <xdr:row>104</xdr:row>
      <xdr:rowOff>88499</xdr:rowOff>
    </xdr:to>
    <xdr:sp macro="" textlink="">
      <xdr:nvSpPr>
        <xdr:cNvPr id="6" name="Rechteck 5">
          <a:extLst>
            <a:ext uri="{FF2B5EF4-FFF2-40B4-BE49-F238E27FC236}">
              <a16:creationId xmlns:a16="http://schemas.microsoft.com/office/drawing/2014/main" id="{00000000-0008-0000-0600-000006000000}"/>
            </a:ext>
          </a:extLst>
        </xdr:cNvPr>
        <xdr:cNvSpPr/>
      </xdr:nvSpPr>
      <xdr:spPr bwMode="auto">
        <a:xfrm>
          <a:off x="8364681" y="4883726"/>
          <a:ext cx="108000" cy="12852000"/>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29</xdr:row>
      <xdr:rowOff>117762</xdr:rowOff>
    </xdr:from>
    <xdr:to>
      <xdr:col>17</xdr:col>
      <xdr:colOff>295035</xdr:colOff>
      <xdr:row>104</xdr:row>
      <xdr:rowOff>85035</xdr:rowOff>
    </xdr:to>
    <xdr:sp macro="" textlink="">
      <xdr:nvSpPr>
        <xdr:cNvPr id="7" name="Rechteck 6">
          <a:extLst>
            <a:ext uri="{FF2B5EF4-FFF2-40B4-BE49-F238E27FC236}">
              <a16:creationId xmlns:a16="http://schemas.microsoft.com/office/drawing/2014/main" id="{00000000-0008-0000-0600-000007000000}"/>
            </a:ext>
          </a:extLst>
        </xdr:cNvPr>
        <xdr:cNvSpPr/>
      </xdr:nvSpPr>
      <xdr:spPr bwMode="auto">
        <a:xfrm>
          <a:off x="16483444" y="4880262"/>
          <a:ext cx="108000" cy="12852000"/>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20</xdr:row>
      <xdr:rowOff>142875</xdr:rowOff>
    </xdr:from>
    <xdr:to>
      <xdr:col>11</xdr:col>
      <xdr:colOff>1018200</xdr:colOff>
      <xdr:row>20</xdr:row>
      <xdr:rowOff>142875</xdr:rowOff>
    </xdr:to>
    <xdr:cxnSp macro="">
      <xdr:nvCxnSpPr>
        <xdr:cNvPr id="10" name="Gerader Verbinder 9">
          <a:extLst>
            <a:ext uri="{FF2B5EF4-FFF2-40B4-BE49-F238E27FC236}">
              <a16:creationId xmlns:a16="http://schemas.microsoft.com/office/drawing/2014/main" id="{00000000-0008-0000-0600-00000A000000}"/>
            </a:ext>
          </a:extLst>
        </xdr:cNvPr>
        <xdr:cNvCxnSpPr/>
      </xdr:nvCxnSpPr>
      <xdr:spPr bwMode="auto">
        <a:xfrm>
          <a:off x="1228725" y="3733800"/>
          <a:ext cx="9324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11</xdr:col>
      <xdr:colOff>201081</xdr:colOff>
      <xdr:row>12</xdr:row>
      <xdr:rowOff>5</xdr:rowOff>
    </xdr:from>
    <xdr:to>
      <xdr:col>12</xdr:col>
      <xdr:colOff>645584</xdr:colOff>
      <xdr:row>16</xdr:row>
      <xdr:rowOff>113243</xdr:rowOff>
    </xdr:to>
    <xdr:grpSp>
      <xdr:nvGrpSpPr>
        <xdr:cNvPr id="11" name="Gruppieren 10">
          <a:extLst>
            <a:ext uri="{FF2B5EF4-FFF2-40B4-BE49-F238E27FC236}">
              <a16:creationId xmlns:a16="http://schemas.microsoft.com/office/drawing/2014/main" id="{00000000-0008-0000-0600-00000B000000}"/>
            </a:ext>
          </a:extLst>
        </xdr:cNvPr>
        <xdr:cNvGrpSpPr/>
      </xdr:nvGrpSpPr>
      <xdr:grpSpPr>
        <a:xfrm>
          <a:off x="9884831" y="3598338"/>
          <a:ext cx="3725336" cy="938738"/>
          <a:chOff x="9884831" y="3598338"/>
          <a:chExt cx="3725336" cy="938738"/>
        </a:xfrm>
      </xdr:grpSpPr>
      <xdr:sp macro="" textlink="$D$126">
        <xdr:nvSpPr>
          <xdr:cNvPr id="13" name="Textfeld 12">
            <a:extLst>
              <a:ext uri="{FF2B5EF4-FFF2-40B4-BE49-F238E27FC236}">
                <a16:creationId xmlns:a16="http://schemas.microsoft.com/office/drawing/2014/main" id="{00000000-0008-0000-0600-00000D000000}"/>
              </a:ext>
            </a:extLst>
          </xdr:cNvPr>
          <xdr:cNvSpPr txBox="1"/>
        </xdr:nvSpPr>
        <xdr:spPr>
          <a:xfrm>
            <a:off x="9885891" y="3894668"/>
            <a:ext cx="3724276" cy="642408"/>
          </a:xfrm>
          <a:prstGeom prst="rect">
            <a:avLst/>
          </a:prstGeom>
          <a:noFill/>
          <a:ln>
            <a:solidFill>
              <a:schemeClr val="bg1">
                <a:lumMod val="50000"/>
              </a:schemeClr>
            </a:solidFill>
          </a:ln>
        </xdr:spPr>
        <xdr:txBody>
          <a:bodyPr vertOverflow="clip" horzOverflow="clip" wrap="square" rtlCol="0" anchor="t">
            <a:noAutofit/>
          </a:bodyPr>
          <a:lstStyle/>
          <a:p>
            <a:pPr algn="ctr"/>
            <a:fld id="{C2BF7F2C-B3FD-404D-B601-1F9C893DA07A}" type="TxLink">
              <a:rPr lang="en-US" sz="1000" b="0" i="0" u="none" strike="noStrike" dirty="0" err="1" smtClean="0">
                <a:solidFill>
                  <a:sysClr val="windowText" lastClr="000000"/>
                </a:solidFill>
                <a:latin typeface="Arial"/>
                <a:cs typeface="Arial"/>
              </a:rPr>
              <a:pPr algn="ctr"/>
              <a:t> </a:t>
            </a:fld>
            <a:endParaRPr lang="de-DE" sz="1100" dirty="0" err="1">
              <a:solidFill>
                <a:sysClr val="windowText" lastClr="000000"/>
              </a:solidFill>
            </a:endParaRPr>
          </a:p>
        </xdr:txBody>
      </xdr:sp>
      <xdr:sp macro="" textlink="">
        <xdr:nvSpPr>
          <xdr:cNvPr id="9" name="Rechteck 8">
            <a:extLst>
              <a:ext uri="{FF2B5EF4-FFF2-40B4-BE49-F238E27FC236}">
                <a16:creationId xmlns:a16="http://schemas.microsoft.com/office/drawing/2014/main" id="{00000000-0008-0000-0600-000009000000}"/>
              </a:ext>
            </a:extLst>
          </xdr:cNvPr>
          <xdr:cNvSpPr/>
        </xdr:nvSpPr>
        <xdr:spPr bwMode="auto">
          <a:xfrm>
            <a:off x="9884831" y="3598338"/>
            <a:ext cx="3725336" cy="306911"/>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0.23302</cdr:x>
      <cdr:y>0.03526</cdr:y>
    </cdr:from>
    <cdr:to>
      <cdr:x>0.32481</cdr:x>
      <cdr:y>0.08712</cdr:y>
    </cdr:to>
    <cdr:sp macro="" textlink="'M1 Härtekammern'!$E$118">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92171" y="163051"/>
          <a:ext cx="62718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286,5</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0.08712</cdr:y>
    </cdr:to>
    <cdr:sp macro="" textlink="'M1 Härtekammern'!$F$118">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59529" y="163051"/>
          <a:ext cx="62718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195,7</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0.08712</cdr:y>
    </cdr:to>
    <cdr:sp macro="" textlink="'M1 Härtekammern'!$G$118">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484593" y="163051"/>
          <a:ext cx="62711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96,4</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5.xml><?xml version="1.0" encoding="utf-8"?>
<c:userShapes xmlns:c="http://schemas.openxmlformats.org/drawingml/2006/chart">
  <cdr:relSizeAnchor xmlns:cdr="http://schemas.openxmlformats.org/drawingml/2006/chartDrawing">
    <cdr:from>
      <cdr:x>0.51422</cdr:x>
      <cdr:y>0.04219</cdr:y>
    </cdr:from>
    <cdr:to>
      <cdr:x>0.63321</cdr:x>
      <cdr:y>0.10156</cdr:y>
    </cdr:to>
    <cdr:sp macro="" textlink="'M1 Härtekammern'!$N$75">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41903" y="170401"/>
          <a:ext cx="72703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782FC72-9417-4F73-AAF2-1DA557F69BEE}" type="TxLink">
            <a:rPr lang="en-US" sz="1000" b="1" i="0" u="none" strike="noStrike" dirty="0" err="1">
              <a:solidFill>
                <a:srgbClr val="323232"/>
              </a:solidFill>
              <a:latin typeface="Arial"/>
              <a:cs typeface="Arial"/>
            </a:rPr>
            <a:pPr/>
            <a:t>10.809</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0.10156</cdr:y>
    </cdr:to>
    <cdr:sp macro="" textlink="'M1 Härtekammern'!$O$75">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51003" y="170401"/>
          <a:ext cx="72703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10.695</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1 Härtekammern'!$M$75">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42B7784-69EA-4580-AEDB-F782B7F85C0F}"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6.xml><?xml version="1.0" encoding="utf-8"?>
<c:userShapes xmlns:c="http://schemas.openxmlformats.org/drawingml/2006/chart">
  <cdr:relSizeAnchor xmlns:cdr="http://schemas.openxmlformats.org/drawingml/2006/chartDrawing">
    <cdr:from>
      <cdr:x>0.24983</cdr:x>
      <cdr:y>0.03789</cdr:y>
    </cdr:from>
    <cdr:to>
      <cdr:x>0.38319</cdr:x>
      <cdr:y>0.08975</cdr:y>
    </cdr:to>
    <cdr:sp macro="" textlink="'M1 Härtekammern'!$U$12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6406" y="175213"/>
          <a:ext cx="88953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0.08975</cdr:y>
    </cdr:to>
    <cdr:sp macro="" textlink="'M1 Härtekammern'!$V$126">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85106" y="175213"/>
          <a:ext cx="88959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723.133 €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0.08975</cdr:y>
    </cdr:to>
    <cdr:sp macro="" textlink="'M1 Härtekammern'!$W$126">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85916" y="175213"/>
          <a:ext cx="88946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1.092.339 €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7.xml><?xml version="1.0" encoding="utf-8"?>
<c:userShapes xmlns:c="http://schemas.openxmlformats.org/drawingml/2006/chart">
  <cdr:relSizeAnchor xmlns:cdr="http://schemas.openxmlformats.org/drawingml/2006/chartDrawing">
    <cdr:from>
      <cdr:x>0.26001</cdr:x>
      <cdr:y>0</cdr:y>
    </cdr:from>
    <cdr:to>
      <cdr:x>0.35189</cdr:x>
      <cdr:y>1</cdr:y>
    </cdr:to>
    <cdr:sp macro="" textlink="'M1 Härtekammern'!$M$122">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2692" y="0"/>
          <a:ext cx="59814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1 Härtekammern'!$N$122">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40394" y="0"/>
          <a:ext cx="59821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10.507</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1 Härtekammern'!$O$122">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33667" y="0"/>
          <a:ext cx="59821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10.493</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560292</xdr:colOff>
      <xdr:row>44</xdr:row>
      <xdr:rowOff>117661</xdr:rowOff>
    </xdr:from>
    <xdr:to>
      <xdr:col>8</xdr:col>
      <xdr:colOff>539185</xdr:colOff>
      <xdr:row>71</xdr:row>
      <xdr:rowOff>28948</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799740</xdr:colOff>
      <xdr:row>48</xdr:row>
      <xdr:rowOff>33094</xdr:rowOff>
    </xdr:from>
    <xdr:to>
      <xdr:col>15</xdr:col>
      <xdr:colOff>778217</xdr:colOff>
      <xdr:row>71</xdr:row>
      <xdr:rowOff>57523</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523875</xdr:colOff>
          <xdr:row>80</xdr:row>
          <xdr:rowOff>28575</xdr:rowOff>
        </xdr:from>
        <xdr:to>
          <xdr:col>2</xdr:col>
          <xdr:colOff>704850</xdr:colOff>
          <xdr:row>81</xdr:row>
          <xdr:rowOff>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7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81</xdr:row>
          <xdr:rowOff>28575</xdr:rowOff>
        </xdr:from>
        <xdr:to>
          <xdr:col>2</xdr:col>
          <xdr:colOff>704850</xdr:colOff>
          <xdr:row>81</xdr:row>
          <xdr:rowOff>190500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7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82</xdr:row>
          <xdr:rowOff>28575</xdr:rowOff>
        </xdr:from>
        <xdr:to>
          <xdr:col>2</xdr:col>
          <xdr:colOff>704850</xdr:colOff>
          <xdr:row>82</xdr:row>
          <xdr:rowOff>180975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7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83</xdr:row>
          <xdr:rowOff>19050</xdr:rowOff>
        </xdr:from>
        <xdr:to>
          <xdr:col>2</xdr:col>
          <xdr:colOff>704850</xdr:colOff>
          <xdr:row>83</xdr:row>
          <xdr:rowOff>190500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7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84</xdr:row>
          <xdr:rowOff>19050</xdr:rowOff>
        </xdr:from>
        <xdr:to>
          <xdr:col>2</xdr:col>
          <xdr:colOff>704850</xdr:colOff>
          <xdr:row>84</xdr:row>
          <xdr:rowOff>180975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7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85</xdr:row>
          <xdr:rowOff>0</xdr:rowOff>
        </xdr:from>
        <xdr:to>
          <xdr:col>2</xdr:col>
          <xdr:colOff>704850</xdr:colOff>
          <xdr:row>85</xdr:row>
          <xdr:rowOff>180975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7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86</xdr:row>
          <xdr:rowOff>9525</xdr:rowOff>
        </xdr:from>
        <xdr:to>
          <xdr:col>2</xdr:col>
          <xdr:colOff>704850</xdr:colOff>
          <xdr:row>86</xdr:row>
          <xdr:rowOff>190500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7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44</xdr:row>
      <xdr:rowOff>117663</xdr:rowOff>
    </xdr:from>
    <xdr:to>
      <xdr:col>25</xdr:col>
      <xdr:colOff>445249</xdr:colOff>
      <xdr:row>71</xdr:row>
      <xdr:rowOff>28948</xdr:rowOff>
    </xdr:to>
    <xdr:graphicFrame macro="">
      <xdr:nvGraphicFramePr>
        <xdr:cNvPr id="4" name="Diagram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91</xdr:row>
          <xdr:rowOff>0</xdr:rowOff>
        </xdr:from>
        <xdr:to>
          <xdr:col>18</xdr:col>
          <xdr:colOff>666750</xdr:colOff>
          <xdr:row>91</xdr:row>
          <xdr:rowOff>180975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7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92</xdr:row>
          <xdr:rowOff>19050</xdr:rowOff>
        </xdr:from>
        <xdr:to>
          <xdr:col>19</xdr:col>
          <xdr:colOff>0</xdr:colOff>
          <xdr:row>93</xdr:row>
          <xdr:rowOff>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7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93</xdr:row>
          <xdr:rowOff>19050</xdr:rowOff>
        </xdr:from>
        <xdr:to>
          <xdr:col>19</xdr:col>
          <xdr:colOff>0</xdr:colOff>
          <xdr:row>94</xdr:row>
          <xdr:rowOff>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7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94</xdr:row>
          <xdr:rowOff>9525</xdr:rowOff>
        </xdr:from>
        <xdr:to>
          <xdr:col>19</xdr:col>
          <xdr:colOff>0</xdr:colOff>
          <xdr:row>94</xdr:row>
          <xdr:rowOff>190500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7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89</xdr:row>
          <xdr:rowOff>9525</xdr:rowOff>
        </xdr:from>
        <xdr:to>
          <xdr:col>18</xdr:col>
          <xdr:colOff>666750</xdr:colOff>
          <xdr:row>90</xdr:row>
          <xdr:rowOff>9525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7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88</xdr:row>
          <xdr:rowOff>0</xdr:rowOff>
        </xdr:from>
        <xdr:to>
          <xdr:col>18</xdr:col>
          <xdr:colOff>666750</xdr:colOff>
          <xdr:row>89</xdr:row>
          <xdr:rowOff>9525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7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90</xdr:row>
          <xdr:rowOff>9525</xdr:rowOff>
        </xdr:from>
        <xdr:to>
          <xdr:col>18</xdr:col>
          <xdr:colOff>666750</xdr:colOff>
          <xdr:row>91</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7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695844</xdr:colOff>
      <xdr:row>115</xdr:row>
      <xdr:rowOff>146597</xdr:rowOff>
    </xdr:from>
    <xdr:to>
      <xdr:col>16</xdr:col>
      <xdr:colOff>163479</xdr:colOff>
      <xdr:row>139</xdr:row>
      <xdr:rowOff>70630</xdr:rowOff>
    </xdr:to>
    <xdr:graphicFrame macro="">
      <xdr:nvGraphicFramePr>
        <xdr:cNvPr id="5" name="Diagramm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514350</xdr:colOff>
          <xdr:row>88</xdr:row>
          <xdr:rowOff>152400</xdr:rowOff>
        </xdr:from>
        <xdr:to>
          <xdr:col>10</xdr:col>
          <xdr:colOff>723900</xdr:colOff>
          <xdr:row>90</xdr:row>
          <xdr:rowOff>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7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89</xdr:row>
          <xdr:rowOff>171450</xdr:rowOff>
        </xdr:from>
        <xdr:to>
          <xdr:col>10</xdr:col>
          <xdr:colOff>723900</xdr:colOff>
          <xdr:row>90</xdr:row>
          <xdr:rowOff>190500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7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90</xdr:row>
          <xdr:rowOff>180975</xdr:rowOff>
        </xdr:from>
        <xdr:to>
          <xdr:col>10</xdr:col>
          <xdr:colOff>723900</xdr:colOff>
          <xdr:row>91</xdr:row>
          <xdr:rowOff>190500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7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91</xdr:row>
          <xdr:rowOff>180975</xdr:rowOff>
        </xdr:from>
        <xdr:to>
          <xdr:col>10</xdr:col>
          <xdr:colOff>723900</xdr:colOff>
          <xdr:row>93</xdr:row>
          <xdr:rowOff>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7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92</xdr:row>
          <xdr:rowOff>180975</xdr:rowOff>
        </xdr:from>
        <xdr:to>
          <xdr:col>10</xdr:col>
          <xdr:colOff>723900</xdr:colOff>
          <xdr:row>94</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7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93</xdr:row>
          <xdr:rowOff>180975</xdr:rowOff>
        </xdr:from>
        <xdr:to>
          <xdr:col>10</xdr:col>
          <xdr:colOff>723900</xdr:colOff>
          <xdr:row>95</xdr:row>
          <xdr:rowOff>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7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94</xdr:row>
          <xdr:rowOff>180975</xdr:rowOff>
        </xdr:from>
        <xdr:to>
          <xdr:col>10</xdr:col>
          <xdr:colOff>723900</xdr:colOff>
          <xdr:row>96</xdr:row>
          <xdr:rowOff>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7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95</xdr:row>
          <xdr:rowOff>190500</xdr:rowOff>
        </xdr:from>
        <xdr:to>
          <xdr:col>10</xdr:col>
          <xdr:colOff>723900</xdr:colOff>
          <xdr:row>96</xdr:row>
          <xdr:rowOff>190500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7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96</xdr:row>
          <xdr:rowOff>180975</xdr:rowOff>
        </xdr:from>
        <xdr:to>
          <xdr:col>10</xdr:col>
          <xdr:colOff>723900</xdr:colOff>
          <xdr:row>97</xdr:row>
          <xdr:rowOff>190500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7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97</xdr:row>
          <xdr:rowOff>171450</xdr:rowOff>
        </xdr:from>
        <xdr:to>
          <xdr:col>10</xdr:col>
          <xdr:colOff>723900</xdr:colOff>
          <xdr:row>98</xdr:row>
          <xdr:rowOff>180975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7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98</xdr:row>
          <xdr:rowOff>171450</xdr:rowOff>
        </xdr:from>
        <xdr:to>
          <xdr:col>10</xdr:col>
          <xdr:colOff>723900</xdr:colOff>
          <xdr:row>99</xdr:row>
          <xdr:rowOff>180975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7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707571</xdr:colOff>
      <xdr:row>86</xdr:row>
      <xdr:rowOff>76042</xdr:rowOff>
    </xdr:from>
    <xdr:to>
      <xdr:col>10</xdr:col>
      <xdr:colOff>762000</xdr:colOff>
      <xdr:row>100</xdr:row>
      <xdr:rowOff>155282</xdr:rowOff>
    </xdr:to>
    <xdr:sp macro="" textlink="">
      <xdr:nvSpPr>
        <xdr:cNvPr id="6" name="Rechteck 5">
          <a:extLst>
            <a:ext uri="{FF2B5EF4-FFF2-40B4-BE49-F238E27FC236}">
              <a16:creationId xmlns:a16="http://schemas.microsoft.com/office/drawing/2014/main" id="{00000000-0008-0000-0700-000006000000}"/>
            </a:ext>
          </a:extLst>
        </xdr:cNvPr>
        <xdr:cNvSpPr/>
      </xdr:nvSpPr>
      <xdr:spPr bwMode="auto">
        <a:xfrm>
          <a:off x="8622846" y="13182442"/>
          <a:ext cx="873579" cy="287006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9</xdr:col>
      <xdr:colOff>415636</xdr:colOff>
      <xdr:row>38</xdr:row>
      <xdr:rowOff>121226</xdr:rowOff>
    </xdr:from>
    <xdr:to>
      <xdr:col>9</xdr:col>
      <xdr:colOff>523636</xdr:colOff>
      <xdr:row>113</xdr:row>
      <xdr:rowOff>88499</xdr:rowOff>
    </xdr:to>
    <xdr:sp macro="" textlink="">
      <xdr:nvSpPr>
        <xdr:cNvPr id="7" name="Rechteck 6">
          <a:extLst>
            <a:ext uri="{FF2B5EF4-FFF2-40B4-BE49-F238E27FC236}">
              <a16:creationId xmlns:a16="http://schemas.microsoft.com/office/drawing/2014/main" id="{00000000-0008-0000-0700-000007000000}"/>
            </a:ext>
          </a:extLst>
        </xdr:cNvPr>
        <xdr:cNvSpPr/>
      </xdr:nvSpPr>
      <xdr:spPr bwMode="auto">
        <a:xfrm>
          <a:off x="8330911" y="5026601"/>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38</xdr:row>
      <xdr:rowOff>117762</xdr:rowOff>
    </xdr:from>
    <xdr:to>
      <xdr:col>17</xdr:col>
      <xdr:colOff>295035</xdr:colOff>
      <xdr:row>113</xdr:row>
      <xdr:rowOff>85035</xdr:rowOff>
    </xdr:to>
    <xdr:sp macro="" textlink="">
      <xdr:nvSpPr>
        <xdr:cNvPr id="8" name="Rechteck 7">
          <a:extLst>
            <a:ext uri="{FF2B5EF4-FFF2-40B4-BE49-F238E27FC236}">
              <a16:creationId xmlns:a16="http://schemas.microsoft.com/office/drawing/2014/main" id="{00000000-0008-0000-0700-000008000000}"/>
            </a:ext>
          </a:extLst>
        </xdr:cNvPr>
        <xdr:cNvSpPr/>
      </xdr:nvSpPr>
      <xdr:spPr bwMode="auto">
        <a:xfrm>
          <a:off x="16655760" y="5023137"/>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605119</xdr:colOff>
      <xdr:row>30</xdr:row>
      <xdr:rowOff>12327</xdr:rowOff>
    </xdr:from>
    <xdr:to>
      <xdr:col>11</xdr:col>
      <xdr:colOff>930795</xdr:colOff>
      <xdr:row>30</xdr:row>
      <xdr:rowOff>12327</xdr:rowOff>
    </xdr:to>
    <xdr:cxnSp macro="">
      <xdr:nvCxnSpPr>
        <xdr:cNvPr id="9" name="Gerader Verbinder 8">
          <a:extLst>
            <a:ext uri="{FF2B5EF4-FFF2-40B4-BE49-F238E27FC236}">
              <a16:creationId xmlns:a16="http://schemas.microsoft.com/office/drawing/2014/main" id="{00000000-0008-0000-0700-000009000000}"/>
            </a:ext>
          </a:extLst>
        </xdr:cNvPr>
        <xdr:cNvCxnSpPr/>
      </xdr:nvCxnSpPr>
      <xdr:spPr bwMode="auto">
        <a:xfrm>
          <a:off x="1131795" y="5133415"/>
          <a:ext cx="9324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598395</xdr:colOff>
      <xdr:row>18</xdr:row>
      <xdr:rowOff>91328</xdr:rowOff>
    </xdr:from>
    <xdr:to>
      <xdr:col>11</xdr:col>
      <xdr:colOff>924071</xdr:colOff>
      <xdr:row>18</xdr:row>
      <xdr:rowOff>91328</xdr:rowOff>
    </xdr:to>
    <xdr:cxnSp macro="">
      <xdr:nvCxnSpPr>
        <xdr:cNvPr id="10" name="Gerader Verbinder 9">
          <a:extLst>
            <a:ext uri="{FF2B5EF4-FFF2-40B4-BE49-F238E27FC236}">
              <a16:creationId xmlns:a16="http://schemas.microsoft.com/office/drawing/2014/main" id="{00000000-0008-0000-0700-00000A000000}"/>
            </a:ext>
          </a:extLst>
        </xdr:cNvPr>
        <xdr:cNvCxnSpPr/>
      </xdr:nvCxnSpPr>
      <xdr:spPr bwMode="auto">
        <a:xfrm>
          <a:off x="1125071" y="3072093"/>
          <a:ext cx="9324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oneCellAnchor>
    <xdr:from>
      <xdr:col>11</xdr:col>
      <xdr:colOff>930088</xdr:colOff>
      <xdr:row>14</xdr:row>
      <xdr:rowOff>145677</xdr:rowOff>
    </xdr:from>
    <xdr:ext cx="2241177" cy="239809"/>
    <xdr:sp macro="" textlink="">
      <xdr:nvSpPr>
        <xdr:cNvPr id="13" name="Textfeld 12">
          <a:extLst>
            <a:ext uri="{FF2B5EF4-FFF2-40B4-BE49-F238E27FC236}">
              <a16:creationId xmlns:a16="http://schemas.microsoft.com/office/drawing/2014/main" id="{00000000-0008-0000-0700-00000D000000}"/>
            </a:ext>
          </a:extLst>
        </xdr:cNvPr>
        <xdr:cNvSpPr txBox="1"/>
      </xdr:nvSpPr>
      <xdr:spPr>
        <a:xfrm>
          <a:off x="10455088" y="2409265"/>
          <a:ext cx="2241177" cy="239809"/>
        </a:xfrm>
        <a:prstGeom prst="rect">
          <a:avLst/>
        </a:prstGeom>
        <a:noFill/>
      </xdr:spPr>
      <xdr:txBody>
        <a:bodyPr vertOverflow="clip" horzOverflow="clip" wrap="square" rtlCol="0" anchor="t">
          <a:spAutoFit/>
        </a:bodyPr>
        <a:lstStyle/>
        <a:p>
          <a:r>
            <a:rPr lang="de-DE" sz="1000" dirty="0" err="1">
              <a:solidFill>
                <a:schemeClr val="tx1"/>
              </a:solidFill>
            </a:rPr>
            <a:t>Quelle: EBeV 2022</a:t>
          </a:r>
        </a:p>
      </xdr:txBody>
    </xdr:sp>
    <xdr:clientData/>
  </xdr:oneCellAnchor>
  <xdr:twoCellAnchor>
    <xdr:from>
      <xdr:col>11</xdr:col>
      <xdr:colOff>560723</xdr:colOff>
      <xdr:row>19</xdr:row>
      <xdr:rowOff>19050</xdr:rowOff>
    </xdr:from>
    <xdr:to>
      <xdr:col>12</xdr:col>
      <xdr:colOff>280575</xdr:colOff>
      <xdr:row>24</xdr:row>
      <xdr:rowOff>85725</xdr:rowOff>
    </xdr:to>
    <xdr:grpSp>
      <xdr:nvGrpSpPr>
        <xdr:cNvPr id="14" name="Gruppieren 13">
          <a:extLst>
            <a:ext uri="{FF2B5EF4-FFF2-40B4-BE49-F238E27FC236}">
              <a16:creationId xmlns:a16="http://schemas.microsoft.com/office/drawing/2014/main" id="{00000000-0008-0000-0700-00000E000000}"/>
            </a:ext>
          </a:extLst>
        </xdr:cNvPr>
        <xdr:cNvGrpSpPr/>
      </xdr:nvGrpSpPr>
      <xdr:grpSpPr>
        <a:xfrm>
          <a:off x="10096306" y="5469467"/>
          <a:ext cx="3000686" cy="1050925"/>
          <a:chOff x="10095248" y="5524500"/>
          <a:chExt cx="2996452" cy="1057275"/>
        </a:xfrm>
      </xdr:grpSpPr>
      <xdr:sp macro="" textlink="$D$135">
        <xdr:nvSpPr>
          <xdr:cNvPr id="12" name="Rechteck 11">
            <a:extLst>
              <a:ext uri="{FF2B5EF4-FFF2-40B4-BE49-F238E27FC236}">
                <a16:creationId xmlns:a16="http://schemas.microsoft.com/office/drawing/2014/main" id="{00000000-0008-0000-0700-00000C000000}"/>
              </a:ext>
            </a:extLst>
          </xdr:cNvPr>
          <xdr:cNvSpPr/>
        </xdr:nvSpPr>
        <xdr:spPr bwMode="auto">
          <a:xfrm>
            <a:off x="10095248" y="5781674"/>
            <a:ext cx="2996452" cy="800101"/>
          </a:xfrm>
          <a:prstGeom prst="rect">
            <a:avLst/>
          </a:prstGeom>
          <a:solidFill>
            <a:schemeClr val="bg1"/>
          </a:solidFill>
          <a:ln>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fld id="{EE75EC32-F08D-431E-A068-7D2FB4110C41}" type="TxLink">
              <a:rPr lang="en-US" sz="1000" b="0" i="0" u="none" strike="noStrike" dirty="0">
                <a:solidFill>
                  <a:srgbClr val="323232"/>
                </a:solidFill>
                <a:latin typeface="Arial"/>
                <a:cs typeface="Arial"/>
              </a:rPr>
              <a:pPr algn="ctr"/>
              <a:t> </a:t>
            </a:fld>
            <a:endParaRPr lang="de-DE" sz="1100" dirty="0">
              <a:solidFill>
                <a:schemeClr val="tx1"/>
              </a:solidFill>
            </a:endParaRPr>
          </a:p>
        </xdr:txBody>
      </xdr:sp>
      <xdr:sp macro="" textlink="">
        <xdr:nvSpPr>
          <xdr:cNvPr id="11" name="Rechteck 10">
            <a:extLst>
              <a:ext uri="{FF2B5EF4-FFF2-40B4-BE49-F238E27FC236}">
                <a16:creationId xmlns:a16="http://schemas.microsoft.com/office/drawing/2014/main" id="{00000000-0008-0000-0700-00000B000000}"/>
              </a:ext>
            </a:extLst>
          </xdr:cNvPr>
          <xdr:cNvSpPr/>
        </xdr:nvSpPr>
        <xdr:spPr bwMode="auto">
          <a:xfrm>
            <a:off x="10096500" y="5524500"/>
            <a:ext cx="2995200" cy="253994"/>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grpSp>
    <xdr:clientData/>
  </xdr:twoCellAnchor>
</xdr:wsDr>
</file>

<file path=xl/drawings/drawing9.xml><?xml version="1.0" encoding="utf-8"?>
<c:userShapes xmlns:c="http://schemas.openxmlformats.org/drawingml/2006/chart">
  <cdr:relSizeAnchor xmlns:cdr="http://schemas.openxmlformats.org/drawingml/2006/chartDrawing">
    <cdr:from>
      <cdr:x>0.23302</cdr:x>
      <cdr:y>0.03526</cdr:y>
    </cdr:from>
    <cdr:to>
      <cdr:x>0.32481</cdr:x>
      <cdr:y>0.08712</cdr:y>
    </cdr:to>
    <cdr:sp macro="" textlink="'M2 Fuhrpark'!$E$127">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55179" y="163051"/>
          <a:ext cx="61260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382,2</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0.08712</cdr:y>
    </cdr:to>
    <cdr:sp macro="" textlink="'M2 Fuhrpark'!$F$127">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6829" y="163051"/>
          <a:ext cx="61260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294,8</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0.08712</cdr:y>
    </cdr:to>
    <cdr:sp macro="" textlink="'M2 Fuhrpark'!$G$127">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57166" y="163051"/>
          <a:ext cx="6125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146,2</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0.xml><?xml version="1.0" encoding="utf-8"?>
<c:userShapes xmlns:c="http://schemas.openxmlformats.org/drawingml/2006/chart">
  <cdr:relSizeAnchor xmlns:cdr="http://schemas.openxmlformats.org/drawingml/2006/chartDrawing">
    <cdr:from>
      <cdr:x>0.51422</cdr:x>
      <cdr:y>0.04219</cdr:y>
    </cdr:from>
    <cdr:to>
      <cdr:x>0.63321</cdr:x>
      <cdr:y>0.10743</cdr:y>
    </cdr:to>
    <cdr:sp macro="" textlink="'M2 Fuhrpark'!$N$84">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9944" y="155077"/>
          <a:ext cx="72658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7ACF44C-88A6-4E1A-8001-4000ED4EE636}" type="TxLink">
            <a:rPr lang="en-US" sz="1000" b="1" i="0" u="none" strike="noStrike" dirty="0" err="1">
              <a:solidFill>
                <a:srgbClr val="323232"/>
              </a:solidFill>
              <a:latin typeface="Arial"/>
              <a:cs typeface="Arial"/>
            </a:rPr>
            <a:pPr/>
            <a:t>10.812</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0.10156</cdr:y>
    </cdr:to>
    <cdr:sp macro="" textlink="'M2 Fuhrpark'!$O$84">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51003" y="170401"/>
          <a:ext cx="72703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10.641</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2 Fuhrpark'!$M$84">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FA8124A-7374-47A0-BF12-34F9175686A1}"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1.xml><?xml version="1.0" encoding="utf-8"?>
<c:userShapes xmlns:c="http://schemas.openxmlformats.org/drawingml/2006/chart">
  <cdr:relSizeAnchor xmlns:cdr="http://schemas.openxmlformats.org/drawingml/2006/chartDrawing">
    <cdr:from>
      <cdr:x>0.24983</cdr:x>
      <cdr:y>0.03789</cdr:y>
    </cdr:from>
    <cdr:to>
      <cdr:x>0.38319</cdr:x>
      <cdr:y>0.08975</cdr:y>
    </cdr:to>
    <cdr:sp macro="" textlink="'M2 Fuhrpark'!$U$135">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6406" y="175213"/>
          <a:ext cx="88953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0.08975</cdr:y>
    </cdr:to>
    <cdr:sp macro="" textlink="'M2 Fuhrpark'!$V$135">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85106" y="175213"/>
          <a:ext cx="88959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796.970 €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0.08975</cdr:y>
    </cdr:to>
    <cdr:sp macro="" textlink="'M2 Fuhrpark'!$W$135">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85916" y="175213"/>
          <a:ext cx="88946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1.299.418 €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2.xml><?xml version="1.0" encoding="utf-8"?>
<c:userShapes xmlns:c="http://schemas.openxmlformats.org/drawingml/2006/chart">
  <cdr:relSizeAnchor xmlns:cdr="http://schemas.openxmlformats.org/drawingml/2006/chartDrawing">
    <cdr:from>
      <cdr:x>0.26001</cdr:x>
      <cdr:y>0</cdr:y>
    </cdr:from>
    <cdr:to>
      <cdr:x>0.35189</cdr:x>
      <cdr:y>1</cdr:y>
    </cdr:to>
    <cdr:sp macro="" textlink="'M2 Fuhrpark'!$M$131">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2197" y="0"/>
          <a:ext cx="59797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2 Fuhrpark'!$N$131">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39387" y="0"/>
          <a:ext cx="59803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10.506</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2 Fuhrpark'!$O$131">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32136" y="0"/>
          <a:ext cx="59803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10.483</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560292</xdr:colOff>
      <xdr:row>44</xdr:row>
      <xdr:rowOff>117661</xdr:rowOff>
    </xdr:from>
    <xdr:to>
      <xdr:col>8</xdr:col>
      <xdr:colOff>539185</xdr:colOff>
      <xdr:row>71</xdr:row>
      <xdr:rowOff>28948</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799740</xdr:colOff>
      <xdr:row>48</xdr:row>
      <xdr:rowOff>33094</xdr:rowOff>
    </xdr:from>
    <xdr:to>
      <xdr:col>15</xdr:col>
      <xdr:colOff>778217</xdr:colOff>
      <xdr:row>71</xdr:row>
      <xdr:rowOff>57523</xdr:rowOff>
    </xdr:to>
    <xdr:graphicFrame macro="">
      <xdr:nvGraphicFramePr>
        <xdr:cNvPr id="3" name="Diagram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523875</xdr:colOff>
          <xdr:row>80</xdr:row>
          <xdr:rowOff>28575</xdr:rowOff>
        </xdr:from>
        <xdr:to>
          <xdr:col>2</xdr:col>
          <xdr:colOff>704850</xdr:colOff>
          <xdr:row>81</xdr:row>
          <xdr:rowOff>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8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81</xdr:row>
          <xdr:rowOff>28575</xdr:rowOff>
        </xdr:from>
        <xdr:to>
          <xdr:col>2</xdr:col>
          <xdr:colOff>704850</xdr:colOff>
          <xdr:row>81</xdr:row>
          <xdr:rowOff>190500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8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82</xdr:row>
          <xdr:rowOff>28575</xdr:rowOff>
        </xdr:from>
        <xdr:to>
          <xdr:col>2</xdr:col>
          <xdr:colOff>704850</xdr:colOff>
          <xdr:row>82</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8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83</xdr:row>
          <xdr:rowOff>19050</xdr:rowOff>
        </xdr:from>
        <xdr:to>
          <xdr:col>2</xdr:col>
          <xdr:colOff>704850</xdr:colOff>
          <xdr:row>83</xdr:row>
          <xdr:rowOff>190500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8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84</xdr:row>
          <xdr:rowOff>19050</xdr:rowOff>
        </xdr:from>
        <xdr:to>
          <xdr:col>2</xdr:col>
          <xdr:colOff>704850</xdr:colOff>
          <xdr:row>84</xdr:row>
          <xdr:rowOff>180975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8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85</xdr:row>
          <xdr:rowOff>0</xdr:rowOff>
        </xdr:from>
        <xdr:to>
          <xdr:col>2</xdr:col>
          <xdr:colOff>704850</xdr:colOff>
          <xdr:row>85</xdr:row>
          <xdr:rowOff>180975</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8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86</xdr:row>
          <xdr:rowOff>9525</xdr:rowOff>
        </xdr:from>
        <xdr:to>
          <xdr:col>2</xdr:col>
          <xdr:colOff>704850</xdr:colOff>
          <xdr:row>86</xdr:row>
          <xdr:rowOff>190500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8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44</xdr:row>
      <xdr:rowOff>117663</xdr:rowOff>
    </xdr:from>
    <xdr:to>
      <xdr:col>25</xdr:col>
      <xdr:colOff>445249</xdr:colOff>
      <xdr:row>71</xdr:row>
      <xdr:rowOff>28948</xdr:rowOff>
    </xdr:to>
    <xdr:graphicFrame macro="">
      <xdr:nvGraphicFramePr>
        <xdr:cNvPr id="4" name="Diagramm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91</xdr:row>
          <xdr:rowOff>0</xdr:rowOff>
        </xdr:from>
        <xdr:to>
          <xdr:col>18</xdr:col>
          <xdr:colOff>676275</xdr:colOff>
          <xdr:row>91</xdr:row>
          <xdr:rowOff>180975</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8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92</xdr:row>
          <xdr:rowOff>19050</xdr:rowOff>
        </xdr:from>
        <xdr:to>
          <xdr:col>19</xdr:col>
          <xdr:colOff>0</xdr:colOff>
          <xdr:row>93</xdr:row>
          <xdr:rowOff>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8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93</xdr:row>
          <xdr:rowOff>19050</xdr:rowOff>
        </xdr:from>
        <xdr:to>
          <xdr:col>19</xdr:col>
          <xdr:colOff>0</xdr:colOff>
          <xdr:row>94</xdr:row>
          <xdr:rowOff>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8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94</xdr:row>
          <xdr:rowOff>9525</xdr:rowOff>
        </xdr:from>
        <xdr:to>
          <xdr:col>19</xdr:col>
          <xdr:colOff>0</xdr:colOff>
          <xdr:row>94</xdr:row>
          <xdr:rowOff>190500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8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89</xdr:row>
          <xdr:rowOff>9525</xdr:rowOff>
        </xdr:from>
        <xdr:to>
          <xdr:col>18</xdr:col>
          <xdr:colOff>676275</xdr:colOff>
          <xdr:row>90</xdr:row>
          <xdr:rowOff>9525</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8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88</xdr:row>
          <xdr:rowOff>0</xdr:rowOff>
        </xdr:from>
        <xdr:to>
          <xdr:col>18</xdr:col>
          <xdr:colOff>676275</xdr:colOff>
          <xdr:row>89</xdr:row>
          <xdr:rowOff>9525</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8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90</xdr:row>
          <xdr:rowOff>9525</xdr:rowOff>
        </xdr:from>
        <xdr:to>
          <xdr:col>18</xdr:col>
          <xdr:colOff>676275</xdr:colOff>
          <xdr:row>91</xdr:row>
          <xdr:rowOff>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8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673432</xdr:colOff>
      <xdr:row>115</xdr:row>
      <xdr:rowOff>124185</xdr:rowOff>
    </xdr:from>
    <xdr:to>
      <xdr:col>16</xdr:col>
      <xdr:colOff>141067</xdr:colOff>
      <xdr:row>139</xdr:row>
      <xdr:rowOff>48218</xdr:rowOff>
    </xdr:to>
    <xdr:graphicFrame macro="">
      <xdr:nvGraphicFramePr>
        <xdr:cNvPr id="5" name="Diagramm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514350</xdr:colOff>
          <xdr:row>88</xdr:row>
          <xdr:rowOff>152400</xdr:rowOff>
        </xdr:from>
        <xdr:to>
          <xdr:col>10</xdr:col>
          <xdr:colOff>723900</xdr:colOff>
          <xdr:row>90</xdr:row>
          <xdr:rowOff>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8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89</xdr:row>
          <xdr:rowOff>171450</xdr:rowOff>
        </xdr:from>
        <xdr:to>
          <xdr:col>10</xdr:col>
          <xdr:colOff>723900</xdr:colOff>
          <xdr:row>90</xdr:row>
          <xdr:rowOff>190500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8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90</xdr:row>
          <xdr:rowOff>180975</xdr:rowOff>
        </xdr:from>
        <xdr:to>
          <xdr:col>10</xdr:col>
          <xdr:colOff>723900</xdr:colOff>
          <xdr:row>91</xdr:row>
          <xdr:rowOff>190500</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8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91</xdr:row>
          <xdr:rowOff>180975</xdr:rowOff>
        </xdr:from>
        <xdr:to>
          <xdr:col>10</xdr:col>
          <xdr:colOff>723900</xdr:colOff>
          <xdr:row>93</xdr:row>
          <xdr:rowOff>0</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00000000-0008-0000-0800-00001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92</xdr:row>
          <xdr:rowOff>180975</xdr:rowOff>
        </xdr:from>
        <xdr:to>
          <xdr:col>10</xdr:col>
          <xdr:colOff>723900</xdr:colOff>
          <xdr:row>94</xdr:row>
          <xdr:rowOff>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0000000-0008-0000-08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93</xdr:row>
          <xdr:rowOff>180975</xdr:rowOff>
        </xdr:from>
        <xdr:to>
          <xdr:col>10</xdr:col>
          <xdr:colOff>723900</xdr:colOff>
          <xdr:row>95</xdr:row>
          <xdr:rowOff>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00000000-0008-0000-08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94</xdr:row>
          <xdr:rowOff>180975</xdr:rowOff>
        </xdr:from>
        <xdr:to>
          <xdr:col>10</xdr:col>
          <xdr:colOff>723900</xdr:colOff>
          <xdr:row>96</xdr:row>
          <xdr:rowOff>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00000000-0008-0000-0800-00001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95</xdr:row>
          <xdr:rowOff>190500</xdr:rowOff>
        </xdr:from>
        <xdr:to>
          <xdr:col>10</xdr:col>
          <xdr:colOff>723900</xdr:colOff>
          <xdr:row>96</xdr:row>
          <xdr:rowOff>190500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00000000-0008-0000-0800-00001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96</xdr:row>
          <xdr:rowOff>180975</xdr:rowOff>
        </xdr:from>
        <xdr:to>
          <xdr:col>10</xdr:col>
          <xdr:colOff>723900</xdr:colOff>
          <xdr:row>97</xdr:row>
          <xdr:rowOff>190500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00000000-0008-0000-0800-00001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97</xdr:row>
          <xdr:rowOff>171450</xdr:rowOff>
        </xdr:from>
        <xdr:to>
          <xdr:col>10</xdr:col>
          <xdr:colOff>723900</xdr:colOff>
          <xdr:row>98</xdr:row>
          <xdr:rowOff>180975</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00000000-0008-0000-0800-00001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98</xdr:row>
          <xdr:rowOff>171450</xdr:rowOff>
        </xdr:from>
        <xdr:to>
          <xdr:col>10</xdr:col>
          <xdr:colOff>723900</xdr:colOff>
          <xdr:row>99</xdr:row>
          <xdr:rowOff>180975</xdr:rowOff>
        </xdr:to>
        <xdr:sp macro="" textlink="">
          <xdr:nvSpPr>
            <xdr:cNvPr id="54297" name="Check Box 25" hidden="1">
              <a:extLst>
                <a:ext uri="{63B3BB69-23CF-44E3-9099-C40C66FF867C}">
                  <a14:compatExt spid="_x0000_s54297"/>
                </a:ext>
                <a:ext uri="{FF2B5EF4-FFF2-40B4-BE49-F238E27FC236}">
                  <a16:creationId xmlns:a16="http://schemas.microsoft.com/office/drawing/2014/main" id="{00000000-0008-0000-0800-00001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707571</xdr:colOff>
      <xdr:row>86</xdr:row>
      <xdr:rowOff>76042</xdr:rowOff>
    </xdr:from>
    <xdr:to>
      <xdr:col>10</xdr:col>
      <xdr:colOff>762000</xdr:colOff>
      <xdr:row>100</xdr:row>
      <xdr:rowOff>155282</xdr:rowOff>
    </xdr:to>
    <xdr:sp macro="" textlink="">
      <xdr:nvSpPr>
        <xdr:cNvPr id="6" name="Rechteck 5">
          <a:extLst>
            <a:ext uri="{FF2B5EF4-FFF2-40B4-BE49-F238E27FC236}">
              <a16:creationId xmlns:a16="http://schemas.microsoft.com/office/drawing/2014/main" id="{00000000-0008-0000-0800-000006000000}"/>
            </a:ext>
          </a:extLst>
        </xdr:cNvPr>
        <xdr:cNvSpPr/>
      </xdr:nvSpPr>
      <xdr:spPr bwMode="auto">
        <a:xfrm>
          <a:off x="8622846" y="14820742"/>
          <a:ext cx="873579" cy="287006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9</xdr:col>
      <xdr:colOff>415636</xdr:colOff>
      <xdr:row>38</xdr:row>
      <xdr:rowOff>121226</xdr:rowOff>
    </xdr:from>
    <xdr:to>
      <xdr:col>9</xdr:col>
      <xdr:colOff>523636</xdr:colOff>
      <xdr:row>113</xdr:row>
      <xdr:rowOff>88499</xdr:rowOff>
    </xdr:to>
    <xdr:sp macro="" textlink="">
      <xdr:nvSpPr>
        <xdr:cNvPr id="7" name="Rechteck 6">
          <a:extLst>
            <a:ext uri="{FF2B5EF4-FFF2-40B4-BE49-F238E27FC236}">
              <a16:creationId xmlns:a16="http://schemas.microsoft.com/office/drawing/2014/main" id="{00000000-0008-0000-0800-000007000000}"/>
            </a:ext>
          </a:extLst>
        </xdr:cNvPr>
        <xdr:cNvSpPr/>
      </xdr:nvSpPr>
      <xdr:spPr bwMode="auto">
        <a:xfrm>
          <a:off x="8330911" y="6664901"/>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38</xdr:row>
      <xdr:rowOff>117762</xdr:rowOff>
    </xdr:from>
    <xdr:to>
      <xdr:col>17</xdr:col>
      <xdr:colOff>295035</xdr:colOff>
      <xdr:row>113</xdr:row>
      <xdr:rowOff>85035</xdr:rowOff>
    </xdr:to>
    <xdr:sp macro="" textlink="">
      <xdr:nvSpPr>
        <xdr:cNvPr id="8" name="Rechteck 7">
          <a:extLst>
            <a:ext uri="{FF2B5EF4-FFF2-40B4-BE49-F238E27FC236}">
              <a16:creationId xmlns:a16="http://schemas.microsoft.com/office/drawing/2014/main" id="{00000000-0008-0000-0800-000008000000}"/>
            </a:ext>
          </a:extLst>
        </xdr:cNvPr>
        <xdr:cNvSpPr/>
      </xdr:nvSpPr>
      <xdr:spPr bwMode="auto">
        <a:xfrm>
          <a:off x="16655760" y="6661437"/>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605119</xdr:colOff>
      <xdr:row>30</xdr:row>
      <xdr:rowOff>12327</xdr:rowOff>
    </xdr:from>
    <xdr:to>
      <xdr:col>11</xdr:col>
      <xdr:colOff>930795</xdr:colOff>
      <xdr:row>30</xdr:row>
      <xdr:rowOff>12327</xdr:rowOff>
    </xdr:to>
    <xdr:cxnSp macro="">
      <xdr:nvCxnSpPr>
        <xdr:cNvPr id="9" name="Gerader Verbinder 8">
          <a:extLst>
            <a:ext uri="{FF2B5EF4-FFF2-40B4-BE49-F238E27FC236}">
              <a16:creationId xmlns:a16="http://schemas.microsoft.com/office/drawing/2014/main" id="{00000000-0008-0000-0800-000009000000}"/>
            </a:ext>
          </a:extLst>
        </xdr:cNvPr>
        <xdr:cNvCxnSpPr/>
      </xdr:nvCxnSpPr>
      <xdr:spPr bwMode="auto">
        <a:xfrm>
          <a:off x="1138519" y="5241552"/>
          <a:ext cx="9326801"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598395</xdr:colOff>
      <xdr:row>18</xdr:row>
      <xdr:rowOff>91328</xdr:rowOff>
    </xdr:from>
    <xdr:to>
      <xdr:col>11</xdr:col>
      <xdr:colOff>924071</xdr:colOff>
      <xdr:row>18</xdr:row>
      <xdr:rowOff>91328</xdr:rowOff>
    </xdr:to>
    <xdr:cxnSp macro="">
      <xdr:nvCxnSpPr>
        <xdr:cNvPr id="10" name="Gerader Verbinder 9">
          <a:extLst>
            <a:ext uri="{FF2B5EF4-FFF2-40B4-BE49-F238E27FC236}">
              <a16:creationId xmlns:a16="http://schemas.microsoft.com/office/drawing/2014/main" id="{00000000-0008-0000-0800-00000A000000}"/>
            </a:ext>
          </a:extLst>
        </xdr:cNvPr>
        <xdr:cNvCxnSpPr/>
      </xdr:nvCxnSpPr>
      <xdr:spPr bwMode="auto">
        <a:xfrm>
          <a:off x="1131795" y="3139328"/>
          <a:ext cx="9326801"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7</xdr:col>
      <xdr:colOff>647700</xdr:colOff>
      <xdr:row>13</xdr:row>
      <xdr:rowOff>76763</xdr:rowOff>
    </xdr:from>
    <xdr:to>
      <xdr:col>11</xdr:col>
      <xdr:colOff>1428750</xdr:colOff>
      <xdr:row>17</xdr:row>
      <xdr:rowOff>151844</xdr:rowOff>
    </xdr:to>
    <xdr:sp macro="" textlink="$D$135">
      <xdr:nvSpPr>
        <xdr:cNvPr id="13" name="Rechteck 12">
          <a:extLst>
            <a:ext uri="{FF2B5EF4-FFF2-40B4-BE49-F238E27FC236}">
              <a16:creationId xmlns:a16="http://schemas.microsoft.com/office/drawing/2014/main" id="{00000000-0008-0000-0800-00000D000000}"/>
            </a:ext>
          </a:extLst>
        </xdr:cNvPr>
        <xdr:cNvSpPr/>
      </xdr:nvSpPr>
      <xdr:spPr bwMode="auto">
        <a:xfrm>
          <a:off x="7191935" y="4469469"/>
          <a:ext cx="3761815" cy="792257"/>
        </a:xfrm>
        <a:prstGeom prst="rect">
          <a:avLst/>
        </a:prstGeom>
        <a:solidFill>
          <a:schemeClr val="bg1"/>
        </a:solidFill>
        <a:ln>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fld id="{EE75EC32-F08D-431E-A068-7D2FB4110C41}" type="TxLink">
            <a:rPr lang="en-US" sz="1000" b="0" i="0" u="none" strike="noStrike" dirty="0">
              <a:solidFill>
                <a:srgbClr val="323232"/>
              </a:solidFill>
              <a:latin typeface="Arial"/>
              <a:cs typeface="Arial"/>
            </a:rPr>
            <a:pPr algn="ctr"/>
            <a:t> </a:t>
          </a:fld>
          <a:endParaRPr lang="de-DE" sz="1100" dirty="0">
            <a:solidFill>
              <a:schemeClr val="tx1"/>
            </a:solidFill>
          </a:endParaRPr>
        </a:p>
      </xdr:txBody>
    </xdr:sp>
    <xdr:clientData/>
  </xdr:twoCellAnchor>
  <xdr:twoCellAnchor>
    <xdr:from>
      <xdr:col>7</xdr:col>
      <xdr:colOff>649940</xdr:colOff>
      <xdr:row>12</xdr:row>
      <xdr:rowOff>22413</xdr:rowOff>
    </xdr:from>
    <xdr:to>
      <xdr:col>11</xdr:col>
      <xdr:colOff>1431175</xdr:colOff>
      <xdr:row>13</xdr:row>
      <xdr:rowOff>89646</xdr:rowOff>
    </xdr:to>
    <xdr:sp macro="" textlink="">
      <xdr:nvSpPr>
        <xdr:cNvPr id="11" name="Rechteck 10">
          <a:extLst>
            <a:ext uri="{FF2B5EF4-FFF2-40B4-BE49-F238E27FC236}">
              <a16:creationId xmlns:a16="http://schemas.microsoft.com/office/drawing/2014/main" id="{00000000-0008-0000-0800-00000B000000}"/>
            </a:ext>
          </a:extLst>
        </xdr:cNvPr>
        <xdr:cNvSpPr/>
      </xdr:nvSpPr>
      <xdr:spPr bwMode="auto">
        <a:xfrm>
          <a:off x="7194175" y="4213413"/>
          <a:ext cx="3762000" cy="268939"/>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0.23302</cdr:x>
      <cdr:y>0.03526</cdr:y>
    </cdr:from>
    <cdr:to>
      <cdr:x>0.32481</cdr:x>
      <cdr:y>0.08756</cdr:y>
    </cdr:to>
    <cdr:sp macro="" textlink="'M3 Effizienz Stapler'!$E$127">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55683" y="161677"/>
          <a:ext cx="61280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95,7</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0.08756</cdr:y>
    </cdr:to>
    <cdr:sp macro="" textlink="'M3 Effizienz Stapler'!$F$127">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7956" y="161677"/>
          <a:ext cx="61280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91,4</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0.08756</cdr:y>
    </cdr:to>
    <cdr:sp macro="" textlink="'M3 Effizienz Stapler'!$G$127">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58903" y="161677"/>
          <a:ext cx="61274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87,2</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5.xml><?xml version="1.0" encoding="utf-8"?>
<c:userShapes xmlns:c="http://schemas.openxmlformats.org/drawingml/2006/chart">
  <cdr:relSizeAnchor xmlns:cdr="http://schemas.openxmlformats.org/drawingml/2006/chartDrawing">
    <cdr:from>
      <cdr:x>0.51422</cdr:x>
      <cdr:y>0.04219</cdr:y>
    </cdr:from>
    <cdr:to>
      <cdr:x>0.63321</cdr:x>
      <cdr:y>0.10206</cdr:y>
    </cdr:to>
    <cdr:sp macro="" textlink="'M3 Effizienz Stapler'!$N$84">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8935" y="169001"/>
          <a:ext cx="72634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FEF3E47-D532-46CD-97EC-2AB15EA5B248}" type="TxLink">
            <a:rPr lang="en-US" sz="1000" b="1" i="0" u="none" strike="noStrike" dirty="0" err="1">
              <a:solidFill>
                <a:srgbClr val="323232"/>
              </a:solidFill>
              <a:latin typeface="Arial"/>
              <a:cs typeface="Arial"/>
            </a:rPr>
            <a:pPr/>
            <a:t>10.819</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0.10206</cdr:y>
    </cdr:to>
    <cdr:sp macro="" textlink="'M3 Effizienz Stapler'!$O$84">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46419" y="169001"/>
          <a:ext cx="72634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10.693</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3 Effizienz Stapler'!$M$84">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F348963-FA1E-4C3B-9B49-E5C0B1BE9BBF}"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6.xml><?xml version="1.0" encoding="utf-8"?>
<c:userShapes xmlns:c="http://schemas.openxmlformats.org/drawingml/2006/chart">
  <cdr:relSizeAnchor xmlns:cdr="http://schemas.openxmlformats.org/drawingml/2006/chartDrawing">
    <cdr:from>
      <cdr:x>0.24983</cdr:x>
      <cdr:y>0.03789</cdr:y>
    </cdr:from>
    <cdr:to>
      <cdr:x>0.38319</cdr:x>
      <cdr:y>0.09019</cdr:y>
    </cdr:to>
    <cdr:sp macro="" textlink="'M3 Effizienz Stapler'!$U$135">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5144" y="173737"/>
          <a:ext cx="88885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0.09019</cdr:y>
    </cdr:to>
    <cdr:sp macro="" textlink="'M3 Effizienz Stapler'!$V$135">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82542" y="173737"/>
          <a:ext cx="88892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729.721 €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0.09019</cdr:y>
    </cdr:to>
    <cdr:sp macro="" textlink="'M3 Effizienz Stapler'!$W$135">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81988" y="173737"/>
          <a:ext cx="88879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1.168.500 €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7.xml><?xml version="1.0" encoding="utf-8"?>
<c:userShapes xmlns:c="http://schemas.openxmlformats.org/drawingml/2006/chart">
  <cdr:relSizeAnchor xmlns:cdr="http://schemas.openxmlformats.org/drawingml/2006/chartDrawing">
    <cdr:from>
      <cdr:x>0.26001</cdr:x>
      <cdr:y>0</cdr:y>
    </cdr:from>
    <cdr:to>
      <cdr:x>0.35189</cdr:x>
      <cdr:y>1</cdr:y>
    </cdr:to>
    <cdr:sp macro="" textlink="'M3 Effizienz Stapler'!$M$131">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2504" y="0"/>
          <a:ext cx="59808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3 Effizienz Stapler'!$N$131">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40013" y="0"/>
          <a:ext cx="59814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10.508</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3 Effizienz Stapler'!$O$131">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33087" y="0"/>
          <a:ext cx="59814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10.492</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8.xml><?xml version="1.0" encoding="utf-8"?>
<xdr:wsDr xmlns:xdr="http://schemas.openxmlformats.org/drawingml/2006/spreadsheetDrawing" xmlns:a="http://schemas.openxmlformats.org/drawingml/2006/main">
  <xdr:twoCellAnchor>
    <xdr:from>
      <xdr:col>2</xdr:col>
      <xdr:colOff>560292</xdr:colOff>
      <xdr:row>29</xdr:row>
      <xdr:rowOff>117661</xdr:rowOff>
    </xdr:from>
    <xdr:to>
      <xdr:col>8</xdr:col>
      <xdr:colOff>539185</xdr:colOff>
      <xdr:row>56</xdr:row>
      <xdr:rowOff>28948</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799740</xdr:colOff>
      <xdr:row>33</xdr:row>
      <xdr:rowOff>33094</xdr:rowOff>
    </xdr:from>
    <xdr:to>
      <xdr:col>15</xdr:col>
      <xdr:colOff>778217</xdr:colOff>
      <xdr:row>56</xdr:row>
      <xdr:rowOff>57523</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523875</xdr:colOff>
          <xdr:row>65</xdr:row>
          <xdr:rowOff>28575</xdr:rowOff>
        </xdr:from>
        <xdr:to>
          <xdr:col>2</xdr:col>
          <xdr:colOff>704850</xdr:colOff>
          <xdr:row>66</xdr:row>
          <xdr:rowOff>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9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66</xdr:row>
          <xdr:rowOff>28575</xdr:rowOff>
        </xdr:from>
        <xdr:to>
          <xdr:col>2</xdr:col>
          <xdr:colOff>704850</xdr:colOff>
          <xdr:row>66</xdr:row>
          <xdr:rowOff>190500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9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67</xdr:row>
          <xdr:rowOff>28575</xdr:rowOff>
        </xdr:from>
        <xdr:to>
          <xdr:col>2</xdr:col>
          <xdr:colOff>704850</xdr:colOff>
          <xdr:row>67</xdr:row>
          <xdr:rowOff>180975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9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68</xdr:row>
          <xdr:rowOff>19050</xdr:rowOff>
        </xdr:from>
        <xdr:to>
          <xdr:col>2</xdr:col>
          <xdr:colOff>704850</xdr:colOff>
          <xdr:row>68</xdr:row>
          <xdr:rowOff>190500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9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69</xdr:row>
          <xdr:rowOff>19050</xdr:rowOff>
        </xdr:from>
        <xdr:to>
          <xdr:col>2</xdr:col>
          <xdr:colOff>704850</xdr:colOff>
          <xdr:row>69</xdr:row>
          <xdr:rowOff>180975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9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70</xdr:row>
          <xdr:rowOff>0</xdr:rowOff>
        </xdr:from>
        <xdr:to>
          <xdr:col>2</xdr:col>
          <xdr:colOff>704850</xdr:colOff>
          <xdr:row>70</xdr:row>
          <xdr:rowOff>180975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9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71</xdr:row>
          <xdr:rowOff>9525</xdr:rowOff>
        </xdr:from>
        <xdr:to>
          <xdr:col>2</xdr:col>
          <xdr:colOff>704850</xdr:colOff>
          <xdr:row>71</xdr:row>
          <xdr:rowOff>190500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9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29</xdr:row>
      <xdr:rowOff>117663</xdr:rowOff>
    </xdr:from>
    <xdr:to>
      <xdr:col>25</xdr:col>
      <xdr:colOff>445249</xdr:colOff>
      <xdr:row>56</xdr:row>
      <xdr:rowOff>28948</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76</xdr:row>
          <xdr:rowOff>0</xdr:rowOff>
        </xdr:from>
        <xdr:to>
          <xdr:col>18</xdr:col>
          <xdr:colOff>676275</xdr:colOff>
          <xdr:row>76</xdr:row>
          <xdr:rowOff>180975</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9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77</xdr:row>
          <xdr:rowOff>19050</xdr:rowOff>
        </xdr:from>
        <xdr:to>
          <xdr:col>19</xdr:col>
          <xdr:colOff>0</xdr:colOff>
          <xdr:row>78</xdr:row>
          <xdr:rowOff>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9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78</xdr:row>
          <xdr:rowOff>19050</xdr:rowOff>
        </xdr:from>
        <xdr:to>
          <xdr:col>19</xdr:col>
          <xdr:colOff>0</xdr:colOff>
          <xdr:row>79</xdr:row>
          <xdr:rowOff>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9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79</xdr:row>
          <xdr:rowOff>9525</xdr:rowOff>
        </xdr:from>
        <xdr:to>
          <xdr:col>19</xdr:col>
          <xdr:colOff>0</xdr:colOff>
          <xdr:row>79</xdr:row>
          <xdr:rowOff>190500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9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74</xdr:row>
          <xdr:rowOff>9525</xdr:rowOff>
        </xdr:from>
        <xdr:to>
          <xdr:col>18</xdr:col>
          <xdr:colOff>676275</xdr:colOff>
          <xdr:row>75</xdr:row>
          <xdr:rowOff>9525</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9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73</xdr:row>
          <xdr:rowOff>0</xdr:rowOff>
        </xdr:from>
        <xdr:to>
          <xdr:col>18</xdr:col>
          <xdr:colOff>676275</xdr:colOff>
          <xdr:row>74</xdr:row>
          <xdr:rowOff>9525</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9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75</xdr:row>
          <xdr:rowOff>9525</xdr:rowOff>
        </xdr:from>
        <xdr:to>
          <xdr:col>18</xdr:col>
          <xdr:colOff>676275</xdr:colOff>
          <xdr:row>76</xdr:row>
          <xdr:rowOff>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9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772685</xdr:colOff>
      <xdr:row>101</xdr:row>
      <xdr:rowOff>26534</xdr:rowOff>
    </xdr:from>
    <xdr:to>
      <xdr:col>16</xdr:col>
      <xdr:colOff>240320</xdr:colOff>
      <xdr:row>124</xdr:row>
      <xdr:rowOff>113853</xdr:rowOff>
    </xdr:to>
    <xdr:graphicFrame macro="">
      <xdr:nvGraphicFramePr>
        <xdr:cNvPr id="5" name="Diagramm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514350</xdr:colOff>
          <xdr:row>73</xdr:row>
          <xdr:rowOff>152400</xdr:rowOff>
        </xdr:from>
        <xdr:to>
          <xdr:col>10</xdr:col>
          <xdr:colOff>723900</xdr:colOff>
          <xdr:row>75</xdr:row>
          <xdr:rowOff>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9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74</xdr:row>
          <xdr:rowOff>171450</xdr:rowOff>
        </xdr:from>
        <xdr:to>
          <xdr:col>10</xdr:col>
          <xdr:colOff>723900</xdr:colOff>
          <xdr:row>75</xdr:row>
          <xdr:rowOff>190500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9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75</xdr:row>
          <xdr:rowOff>180975</xdr:rowOff>
        </xdr:from>
        <xdr:to>
          <xdr:col>10</xdr:col>
          <xdr:colOff>723900</xdr:colOff>
          <xdr:row>76</xdr:row>
          <xdr:rowOff>190500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9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76</xdr:row>
          <xdr:rowOff>180975</xdr:rowOff>
        </xdr:from>
        <xdr:to>
          <xdr:col>10</xdr:col>
          <xdr:colOff>723900</xdr:colOff>
          <xdr:row>78</xdr:row>
          <xdr:rowOff>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9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77</xdr:row>
          <xdr:rowOff>180975</xdr:rowOff>
        </xdr:from>
        <xdr:to>
          <xdr:col>10</xdr:col>
          <xdr:colOff>723900</xdr:colOff>
          <xdr:row>79</xdr:row>
          <xdr:rowOff>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9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78</xdr:row>
          <xdr:rowOff>180975</xdr:rowOff>
        </xdr:from>
        <xdr:to>
          <xdr:col>10</xdr:col>
          <xdr:colOff>723900</xdr:colOff>
          <xdr:row>80</xdr:row>
          <xdr:rowOff>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09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79</xdr:row>
          <xdr:rowOff>180975</xdr:rowOff>
        </xdr:from>
        <xdr:to>
          <xdr:col>10</xdr:col>
          <xdr:colOff>723900</xdr:colOff>
          <xdr:row>81</xdr:row>
          <xdr:rowOff>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09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80</xdr:row>
          <xdr:rowOff>190500</xdr:rowOff>
        </xdr:from>
        <xdr:to>
          <xdr:col>10</xdr:col>
          <xdr:colOff>723900</xdr:colOff>
          <xdr:row>81</xdr:row>
          <xdr:rowOff>190500</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09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81</xdr:row>
          <xdr:rowOff>180975</xdr:rowOff>
        </xdr:from>
        <xdr:to>
          <xdr:col>10</xdr:col>
          <xdr:colOff>723900</xdr:colOff>
          <xdr:row>82</xdr:row>
          <xdr:rowOff>190500</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09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82</xdr:row>
          <xdr:rowOff>171450</xdr:rowOff>
        </xdr:from>
        <xdr:to>
          <xdr:col>10</xdr:col>
          <xdr:colOff>723900</xdr:colOff>
          <xdr:row>83</xdr:row>
          <xdr:rowOff>180975</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09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83</xdr:row>
          <xdr:rowOff>171450</xdr:rowOff>
        </xdr:from>
        <xdr:to>
          <xdr:col>10</xdr:col>
          <xdr:colOff>723900</xdr:colOff>
          <xdr:row>84</xdr:row>
          <xdr:rowOff>180975</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09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707571</xdr:colOff>
      <xdr:row>71</xdr:row>
      <xdr:rowOff>76042</xdr:rowOff>
    </xdr:from>
    <xdr:to>
      <xdr:col>10</xdr:col>
      <xdr:colOff>762000</xdr:colOff>
      <xdr:row>85</xdr:row>
      <xdr:rowOff>155282</xdr:rowOff>
    </xdr:to>
    <xdr:sp macro="" textlink="">
      <xdr:nvSpPr>
        <xdr:cNvPr id="6" name="Rechteck 5">
          <a:extLst>
            <a:ext uri="{FF2B5EF4-FFF2-40B4-BE49-F238E27FC236}">
              <a16:creationId xmlns:a16="http://schemas.microsoft.com/office/drawing/2014/main" id="{00000000-0008-0000-0900-000006000000}"/>
            </a:ext>
          </a:extLst>
        </xdr:cNvPr>
        <xdr:cNvSpPr/>
      </xdr:nvSpPr>
      <xdr:spPr bwMode="auto">
        <a:xfrm>
          <a:off x="8622846" y="13363417"/>
          <a:ext cx="873579" cy="287006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9</xdr:col>
      <xdr:colOff>415636</xdr:colOff>
      <xdr:row>23</xdr:row>
      <xdr:rowOff>121226</xdr:rowOff>
    </xdr:from>
    <xdr:to>
      <xdr:col>9</xdr:col>
      <xdr:colOff>523636</xdr:colOff>
      <xdr:row>98</xdr:row>
      <xdr:rowOff>88499</xdr:rowOff>
    </xdr:to>
    <xdr:sp macro="" textlink="">
      <xdr:nvSpPr>
        <xdr:cNvPr id="7" name="Rechteck 6">
          <a:extLst>
            <a:ext uri="{FF2B5EF4-FFF2-40B4-BE49-F238E27FC236}">
              <a16:creationId xmlns:a16="http://schemas.microsoft.com/office/drawing/2014/main" id="{00000000-0008-0000-0900-000007000000}"/>
            </a:ext>
          </a:extLst>
        </xdr:cNvPr>
        <xdr:cNvSpPr/>
      </xdr:nvSpPr>
      <xdr:spPr bwMode="auto">
        <a:xfrm>
          <a:off x="8330911" y="5207576"/>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23</xdr:row>
      <xdr:rowOff>117762</xdr:rowOff>
    </xdr:from>
    <xdr:to>
      <xdr:col>17</xdr:col>
      <xdr:colOff>295035</xdr:colOff>
      <xdr:row>98</xdr:row>
      <xdr:rowOff>85035</xdr:rowOff>
    </xdr:to>
    <xdr:sp macro="" textlink="">
      <xdr:nvSpPr>
        <xdr:cNvPr id="8" name="Rechteck 7">
          <a:extLst>
            <a:ext uri="{FF2B5EF4-FFF2-40B4-BE49-F238E27FC236}">
              <a16:creationId xmlns:a16="http://schemas.microsoft.com/office/drawing/2014/main" id="{00000000-0008-0000-0900-000008000000}"/>
            </a:ext>
          </a:extLst>
        </xdr:cNvPr>
        <xdr:cNvSpPr/>
      </xdr:nvSpPr>
      <xdr:spPr bwMode="auto">
        <a:xfrm>
          <a:off x="16655760" y="5204112"/>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0.23302</cdr:x>
      <cdr:y>0.03526</cdr:y>
    </cdr:from>
    <cdr:to>
      <cdr:x>0.32481</cdr:x>
      <cdr:y>0.08712</cdr:y>
    </cdr:to>
    <cdr:sp macro="" textlink="'M4 Grünstrom'!$E$112">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88472" y="163051"/>
          <a:ext cx="62572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286,5</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0.08712</cdr:y>
    </cdr:to>
    <cdr:sp macro="" textlink="'M4 Grünstrom'!$F$112">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51259" y="163051"/>
          <a:ext cx="62572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0,0</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0.08712</cdr:y>
    </cdr:to>
    <cdr:sp macro="" textlink="'M4 Grünstrom'!$G$112">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471850" y="163051"/>
          <a:ext cx="62565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0,0</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0.xml><?xml version="1.0" encoding="utf-8"?>
<c:userShapes xmlns:c="http://schemas.openxmlformats.org/drawingml/2006/chart">
  <cdr:relSizeAnchor xmlns:cdr="http://schemas.openxmlformats.org/drawingml/2006/chartDrawing">
    <cdr:from>
      <cdr:x>0.51422</cdr:x>
      <cdr:y>0.04219</cdr:y>
    </cdr:from>
    <cdr:to>
      <cdr:x>0.63321</cdr:x>
      <cdr:y>0.10386</cdr:y>
    </cdr:to>
    <cdr:sp macro="" textlink="'M4 Grünstrom'!$N$69">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7101" y="164058"/>
          <a:ext cx="72592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D5CAE03-1D8A-42DE-AF1C-292DB17CBBD5}" type="TxLink">
            <a:rPr lang="en-US" sz="1000" b="1" i="0" u="none" strike="noStrike" dirty="0" err="1">
              <a:solidFill>
                <a:srgbClr val="323232"/>
              </a:solidFill>
              <a:latin typeface="Arial"/>
              <a:cs typeface="Arial"/>
            </a:rPr>
            <a:pPr/>
            <a:t>10.616</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0.10156</cdr:y>
    </cdr:to>
    <cdr:sp macro="" textlink="'M4 Grünstrom'!$O$69">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51003" y="170401"/>
          <a:ext cx="72703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10.616</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4 Grünstrom'!$M$69">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1F6530C-E7D8-4C7F-B309-52CF12C9181E}"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1.xml><?xml version="1.0" encoding="utf-8"?>
<c:userShapes xmlns:c="http://schemas.openxmlformats.org/drawingml/2006/chart">
  <cdr:relSizeAnchor xmlns:cdr="http://schemas.openxmlformats.org/drawingml/2006/chartDrawing">
    <cdr:from>
      <cdr:x>0.24983</cdr:x>
      <cdr:y>0.03789</cdr:y>
    </cdr:from>
    <cdr:to>
      <cdr:x>0.38319</cdr:x>
      <cdr:y>0.08975</cdr:y>
    </cdr:to>
    <cdr:sp macro="" textlink="'M4 Grünstrom'!$U$120">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6406" y="175213"/>
          <a:ext cx="88953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0.08975</cdr:y>
    </cdr:to>
    <cdr:sp macro="" textlink="'M4 Grünstrom'!$V$120">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85106" y="175213"/>
          <a:ext cx="88959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652.256 €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0.08975</cdr:y>
    </cdr:to>
    <cdr:sp macro="" textlink="'M4 Grünstrom'!$W$120">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85916" y="175213"/>
          <a:ext cx="88946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1.023.809 €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2.xml><?xml version="1.0" encoding="utf-8"?>
<c:userShapes xmlns:c="http://schemas.openxmlformats.org/drawingml/2006/chart">
  <cdr:relSizeAnchor xmlns:cdr="http://schemas.openxmlformats.org/drawingml/2006/chartDrawing">
    <cdr:from>
      <cdr:x>0.26001</cdr:x>
      <cdr:y>0</cdr:y>
    </cdr:from>
    <cdr:to>
      <cdr:x>0.35189</cdr:x>
      <cdr:y>1</cdr:y>
    </cdr:to>
    <cdr:sp macro="" textlink="'M4 Grünstrom'!$M$11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2692" y="0"/>
          <a:ext cx="59814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4 Grünstrom'!$N$116">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40394" y="0"/>
          <a:ext cx="59821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10.509</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4 Grünstrom'!$O$116">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33667" y="0"/>
          <a:ext cx="59821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10.509</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3.xml><?xml version="1.0" encoding="utf-8"?>
<xdr:wsDr xmlns:xdr="http://schemas.openxmlformats.org/drawingml/2006/spreadsheetDrawing" xmlns:a="http://schemas.openxmlformats.org/drawingml/2006/main">
  <xdr:twoCellAnchor>
    <xdr:from>
      <xdr:col>2</xdr:col>
      <xdr:colOff>560292</xdr:colOff>
      <xdr:row>35</xdr:row>
      <xdr:rowOff>117661</xdr:rowOff>
    </xdr:from>
    <xdr:to>
      <xdr:col>8</xdr:col>
      <xdr:colOff>539185</xdr:colOff>
      <xdr:row>62</xdr:row>
      <xdr:rowOff>28948</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799740</xdr:colOff>
      <xdr:row>39</xdr:row>
      <xdr:rowOff>33094</xdr:rowOff>
    </xdr:from>
    <xdr:to>
      <xdr:col>15</xdr:col>
      <xdr:colOff>778217</xdr:colOff>
      <xdr:row>62</xdr:row>
      <xdr:rowOff>57523</xdr:rowOff>
    </xdr:to>
    <xdr:graphicFrame macro="">
      <xdr:nvGraphicFramePr>
        <xdr:cNvPr id="3" name="Diagramm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523875</xdr:colOff>
          <xdr:row>71</xdr:row>
          <xdr:rowOff>28575</xdr:rowOff>
        </xdr:from>
        <xdr:to>
          <xdr:col>2</xdr:col>
          <xdr:colOff>704850</xdr:colOff>
          <xdr:row>72</xdr:row>
          <xdr:rowOff>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A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72</xdr:row>
          <xdr:rowOff>28575</xdr:rowOff>
        </xdr:from>
        <xdr:to>
          <xdr:col>2</xdr:col>
          <xdr:colOff>704850</xdr:colOff>
          <xdr:row>72</xdr:row>
          <xdr:rowOff>190500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A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73</xdr:row>
          <xdr:rowOff>28575</xdr:rowOff>
        </xdr:from>
        <xdr:to>
          <xdr:col>2</xdr:col>
          <xdr:colOff>704850</xdr:colOff>
          <xdr:row>73</xdr:row>
          <xdr:rowOff>180975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A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74</xdr:row>
          <xdr:rowOff>19050</xdr:rowOff>
        </xdr:from>
        <xdr:to>
          <xdr:col>2</xdr:col>
          <xdr:colOff>704850</xdr:colOff>
          <xdr:row>74</xdr:row>
          <xdr:rowOff>190500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A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75</xdr:row>
          <xdr:rowOff>19050</xdr:rowOff>
        </xdr:from>
        <xdr:to>
          <xdr:col>2</xdr:col>
          <xdr:colOff>704850</xdr:colOff>
          <xdr:row>75</xdr:row>
          <xdr:rowOff>180975</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A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76</xdr:row>
          <xdr:rowOff>0</xdr:rowOff>
        </xdr:from>
        <xdr:to>
          <xdr:col>2</xdr:col>
          <xdr:colOff>704850</xdr:colOff>
          <xdr:row>76</xdr:row>
          <xdr:rowOff>180975</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A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77</xdr:row>
          <xdr:rowOff>9525</xdr:rowOff>
        </xdr:from>
        <xdr:to>
          <xdr:col>2</xdr:col>
          <xdr:colOff>704850</xdr:colOff>
          <xdr:row>77</xdr:row>
          <xdr:rowOff>190500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A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35</xdr:row>
      <xdr:rowOff>117663</xdr:rowOff>
    </xdr:from>
    <xdr:to>
      <xdr:col>25</xdr:col>
      <xdr:colOff>445249</xdr:colOff>
      <xdr:row>62</xdr:row>
      <xdr:rowOff>28948</xdr:rowOff>
    </xdr:to>
    <xdr:graphicFrame macro="">
      <xdr:nvGraphicFramePr>
        <xdr:cNvPr id="4" name="Diagramm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82</xdr:row>
          <xdr:rowOff>0</xdr:rowOff>
        </xdr:from>
        <xdr:to>
          <xdr:col>18</xdr:col>
          <xdr:colOff>676275</xdr:colOff>
          <xdr:row>82</xdr:row>
          <xdr:rowOff>180975</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A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83</xdr:row>
          <xdr:rowOff>19050</xdr:rowOff>
        </xdr:from>
        <xdr:to>
          <xdr:col>19</xdr:col>
          <xdr:colOff>0</xdr:colOff>
          <xdr:row>84</xdr:row>
          <xdr:rowOff>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A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84</xdr:row>
          <xdr:rowOff>19050</xdr:rowOff>
        </xdr:from>
        <xdr:to>
          <xdr:col>19</xdr:col>
          <xdr:colOff>0</xdr:colOff>
          <xdr:row>85</xdr:row>
          <xdr:rowOff>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A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85</xdr:row>
          <xdr:rowOff>9525</xdr:rowOff>
        </xdr:from>
        <xdr:to>
          <xdr:col>19</xdr:col>
          <xdr:colOff>0</xdr:colOff>
          <xdr:row>85</xdr:row>
          <xdr:rowOff>190500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A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80</xdr:row>
          <xdr:rowOff>9525</xdr:rowOff>
        </xdr:from>
        <xdr:to>
          <xdr:col>18</xdr:col>
          <xdr:colOff>676275</xdr:colOff>
          <xdr:row>81</xdr:row>
          <xdr:rowOff>9525</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A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79</xdr:row>
          <xdr:rowOff>0</xdr:rowOff>
        </xdr:from>
        <xdr:to>
          <xdr:col>18</xdr:col>
          <xdr:colOff>676275</xdr:colOff>
          <xdr:row>80</xdr:row>
          <xdr:rowOff>9525</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A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81</xdr:row>
          <xdr:rowOff>9525</xdr:rowOff>
        </xdr:from>
        <xdr:to>
          <xdr:col>18</xdr:col>
          <xdr:colOff>676275</xdr:colOff>
          <xdr:row>82</xdr:row>
          <xdr:rowOff>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A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740668</xdr:colOff>
      <xdr:row>106</xdr:row>
      <xdr:rowOff>112979</xdr:rowOff>
    </xdr:from>
    <xdr:to>
      <xdr:col>16</xdr:col>
      <xdr:colOff>208303</xdr:colOff>
      <xdr:row>130</xdr:row>
      <xdr:rowOff>37012</xdr:rowOff>
    </xdr:to>
    <xdr:graphicFrame macro="">
      <xdr:nvGraphicFramePr>
        <xdr:cNvPr id="5" name="Diagramm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514350</xdr:colOff>
          <xdr:row>79</xdr:row>
          <xdr:rowOff>152400</xdr:rowOff>
        </xdr:from>
        <xdr:to>
          <xdr:col>10</xdr:col>
          <xdr:colOff>723900</xdr:colOff>
          <xdr:row>81</xdr:row>
          <xdr:rowOff>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A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80</xdr:row>
          <xdr:rowOff>171450</xdr:rowOff>
        </xdr:from>
        <xdr:to>
          <xdr:col>10</xdr:col>
          <xdr:colOff>723900</xdr:colOff>
          <xdr:row>81</xdr:row>
          <xdr:rowOff>190500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A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81</xdr:row>
          <xdr:rowOff>180975</xdr:rowOff>
        </xdr:from>
        <xdr:to>
          <xdr:col>10</xdr:col>
          <xdr:colOff>723900</xdr:colOff>
          <xdr:row>82</xdr:row>
          <xdr:rowOff>190500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A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82</xdr:row>
          <xdr:rowOff>180975</xdr:rowOff>
        </xdr:from>
        <xdr:to>
          <xdr:col>10</xdr:col>
          <xdr:colOff>723900</xdr:colOff>
          <xdr:row>84</xdr:row>
          <xdr:rowOff>0</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A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83</xdr:row>
          <xdr:rowOff>180975</xdr:rowOff>
        </xdr:from>
        <xdr:to>
          <xdr:col>10</xdr:col>
          <xdr:colOff>723900</xdr:colOff>
          <xdr:row>85</xdr:row>
          <xdr:rowOff>0</xdr:rowOff>
        </xdr:to>
        <xdr:sp macro="" textlink="">
          <xdr:nvSpPr>
            <xdr:cNvPr id="66579" name="Check Box 19" hidden="1">
              <a:extLst>
                <a:ext uri="{63B3BB69-23CF-44E3-9099-C40C66FF867C}">
                  <a14:compatExt spid="_x0000_s66579"/>
                </a:ext>
                <a:ext uri="{FF2B5EF4-FFF2-40B4-BE49-F238E27FC236}">
                  <a16:creationId xmlns:a16="http://schemas.microsoft.com/office/drawing/2014/main" id="{00000000-0008-0000-0A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84</xdr:row>
          <xdr:rowOff>180975</xdr:rowOff>
        </xdr:from>
        <xdr:to>
          <xdr:col>10</xdr:col>
          <xdr:colOff>723900</xdr:colOff>
          <xdr:row>86</xdr:row>
          <xdr:rowOff>0</xdr:rowOff>
        </xdr:to>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0A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85</xdr:row>
          <xdr:rowOff>180975</xdr:rowOff>
        </xdr:from>
        <xdr:to>
          <xdr:col>10</xdr:col>
          <xdr:colOff>723900</xdr:colOff>
          <xdr:row>87</xdr:row>
          <xdr:rowOff>0</xdr:rowOff>
        </xdr:to>
        <xdr:sp macro="" textlink="">
          <xdr:nvSpPr>
            <xdr:cNvPr id="66581" name="Check Box 21" hidden="1">
              <a:extLst>
                <a:ext uri="{63B3BB69-23CF-44E3-9099-C40C66FF867C}">
                  <a14:compatExt spid="_x0000_s66581"/>
                </a:ext>
                <a:ext uri="{FF2B5EF4-FFF2-40B4-BE49-F238E27FC236}">
                  <a16:creationId xmlns:a16="http://schemas.microsoft.com/office/drawing/2014/main" id="{00000000-0008-0000-0A00-00001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86</xdr:row>
          <xdr:rowOff>190500</xdr:rowOff>
        </xdr:from>
        <xdr:to>
          <xdr:col>10</xdr:col>
          <xdr:colOff>723900</xdr:colOff>
          <xdr:row>87</xdr:row>
          <xdr:rowOff>190500</xdr:rowOff>
        </xdr:to>
        <xdr:sp macro="" textlink="">
          <xdr:nvSpPr>
            <xdr:cNvPr id="66582" name="Check Box 22" hidden="1">
              <a:extLst>
                <a:ext uri="{63B3BB69-23CF-44E3-9099-C40C66FF867C}">
                  <a14:compatExt spid="_x0000_s66582"/>
                </a:ext>
                <a:ext uri="{FF2B5EF4-FFF2-40B4-BE49-F238E27FC236}">
                  <a16:creationId xmlns:a16="http://schemas.microsoft.com/office/drawing/2014/main" id="{00000000-0008-0000-0A00-00001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87</xdr:row>
          <xdr:rowOff>180975</xdr:rowOff>
        </xdr:from>
        <xdr:to>
          <xdr:col>10</xdr:col>
          <xdr:colOff>723900</xdr:colOff>
          <xdr:row>88</xdr:row>
          <xdr:rowOff>190500</xdr:rowOff>
        </xdr:to>
        <xdr:sp macro="" textlink="">
          <xdr:nvSpPr>
            <xdr:cNvPr id="66583" name="Check Box 23" hidden="1">
              <a:extLst>
                <a:ext uri="{63B3BB69-23CF-44E3-9099-C40C66FF867C}">
                  <a14:compatExt spid="_x0000_s66583"/>
                </a:ext>
                <a:ext uri="{FF2B5EF4-FFF2-40B4-BE49-F238E27FC236}">
                  <a16:creationId xmlns:a16="http://schemas.microsoft.com/office/drawing/2014/main" id="{00000000-0008-0000-0A00-00001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88</xdr:row>
          <xdr:rowOff>171450</xdr:rowOff>
        </xdr:from>
        <xdr:to>
          <xdr:col>10</xdr:col>
          <xdr:colOff>723900</xdr:colOff>
          <xdr:row>89</xdr:row>
          <xdr:rowOff>180975</xdr:rowOff>
        </xdr:to>
        <xdr:sp macro="" textlink="">
          <xdr:nvSpPr>
            <xdr:cNvPr id="66584" name="Check Box 24" hidden="1">
              <a:extLst>
                <a:ext uri="{63B3BB69-23CF-44E3-9099-C40C66FF867C}">
                  <a14:compatExt spid="_x0000_s66584"/>
                </a:ext>
                <a:ext uri="{FF2B5EF4-FFF2-40B4-BE49-F238E27FC236}">
                  <a16:creationId xmlns:a16="http://schemas.microsoft.com/office/drawing/2014/main" id="{00000000-0008-0000-0A00-00001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89</xdr:row>
          <xdr:rowOff>171450</xdr:rowOff>
        </xdr:from>
        <xdr:to>
          <xdr:col>10</xdr:col>
          <xdr:colOff>723900</xdr:colOff>
          <xdr:row>90</xdr:row>
          <xdr:rowOff>180975</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A00-00001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707571</xdr:colOff>
      <xdr:row>77</xdr:row>
      <xdr:rowOff>76042</xdr:rowOff>
    </xdr:from>
    <xdr:to>
      <xdr:col>10</xdr:col>
      <xdr:colOff>762000</xdr:colOff>
      <xdr:row>91</xdr:row>
      <xdr:rowOff>155282</xdr:rowOff>
    </xdr:to>
    <xdr:sp macro="" textlink="">
      <xdr:nvSpPr>
        <xdr:cNvPr id="6" name="Rechteck 5">
          <a:extLst>
            <a:ext uri="{FF2B5EF4-FFF2-40B4-BE49-F238E27FC236}">
              <a16:creationId xmlns:a16="http://schemas.microsoft.com/office/drawing/2014/main" id="{00000000-0008-0000-0A00-000006000000}"/>
            </a:ext>
          </a:extLst>
        </xdr:cNvPr>
        <xdr:cNvSpPr/>
      </xdr:nvSpPr>
      <xdr:spPr bwMode="auto">
        <a:xfrm>
          <a:off x="8622846" y="13363417"/>
          <a:ext cx="873579" cy="287006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9</xdr:col>
      <xdr:colOff>415636</xdr:colOff>
      <xdr:row>29</xdr:row>
      <xdr:rowOff>121226</xdr:rowOff>
    </xdr:from>
    <xdr:to>
      <xdr:col>9</xdr:col>
      <xdr:colOff>523636</xdr:colOff>
      <xdr:row>104</xdr:row>
      <xdr:rowOff>88499</xdr:rowOff>
    </xdr:to>
    <xdr:sp macro="" textlink="">
      <xdr:nvSpPr>
        <xdr:cNvPr id="7" name="Rechteck 6">
          <a:extLst>
            <a:ext uri="{FF2B5EF4-FFF2-40B4-BE49-F238E27FC236}">
              <a16:creationId xmlns:a16="http://schemas.microsoft.com/office/drawing/2014/main" id="{00000000-0008-0000-0A00-000007000000}"/>
            </a:ext>
          </a:extLst>
        </xdr:cNvPr>
        <xdr:cNvSpPr/>
      </xdr:nvSpPr>
      <xdr:spPr bwMode="auto">
        <a:xfrm>
          <a:off x="8330911" y="5207576"/>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29</xdr:row>
      <xdr:rowOff>117762</xdr:rowOff>
    </xdr:from>
    <xdr:to>
      <xdr:col>17</xdr:col>
      <xdr:colOff>295035</xdr:colOff>
      <xdr:row>104</xdr:row>
      <xdr:rowOff>85035</xdr:rowOff>
    </xdr:to>
    <xdr:sp macro="" textlink="">
      <xdr:nvSpPr>
        <xdr:cNvPr id="8" name="Rechteck 7">
          <a:extLst>
            <a:ext uri="{FF2B5EF4-FFF2-40B4-BE49-F238E27FC236}">
              <a16:creationId xmlns:a16="http://schemas.microsoft.com/office/drawing/2014/main" id="{00000000-0008-0000-0A00-000008000000}"/>
            </a:ext>
          </a:extLst>
        </xdr:cNvPr>
        <xdr:cNvSpPr/>
      </xdr:nvSpPr>
      <xdr:spPr bwMode="auto">
        <a:xfrm>
          <a:off x="16655760" y="5204112"/>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20</xdr:row>
      <xdr:rowOff>142875</xdr:rowOff>
    </xdr:from>
    <xdr:to>
      <xdr:col>11</xdr:col>
      <xdr:colOff>1018200</xdr:colOff>
      <xdr:row>20</xdr:row>
      <xdr:rowOff>142875</xdr:rowOff>
    </xdr:to>
    <xdr:cxnSp macro="">
      <xdr:nvCxnSpPr>
        <xdr:cNvPr id="9" name="Gerader Verbinder 8">
          <a:extLst>
            <a:ext uri="{FF2B5EF4-FFF2-40B4-BE49-F238E27FC236}">
              <a16:creationId xmlns:a16="http://schemas.microsoft.com/office/drawing/2014/main" id="{00000000-0008-0000-0A00-000009000000}"/>
            </a:ext>
          </a:extLst>
        </xdr:cNvPr>
        <xdr:cNvCxnSpPr/>
      </xdr:nvCxnSpPr>
      <xdr:spPr bwMode="auto">
        <a:xfrm>
          <a:off x="1228725" y="3752850"/>
          <a:ext cx="9324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11</xdr:col>
      <xdr:colOff>638735</xdr:colOff>
      <xdr:row>11</xdr:row>
      <xdr:rowOff>156883</xdr:rowOff>
    </xdr:from>
    <xdr:to>
      <xdr:col>12</xdr:col>
      <xdr:colOff>448235</xdr:colOff>
      <xdr:row>17</xdr:row>
      <xdr:rowOff>112057</xdr:rowOff>
    </xdr:to>
    <xdr:grpSp>
      <xdr:nvGrpSpPr>
        <xdr:cNvPr id="10" name="Gruppieren 9">
          <a:extLst>
            <a:ext uri="{FF2B5EF4-FFF2-40B4-BE49-F238E27FC236}">
              <a16:creationId xmlns:a16="http://schemas.microsoft.com/office/drawing/2014/main" id="{00000000-0008-0000-0A00-00000A000000}"/>
            </a:ext>
          </a:extLst>
        </xdr:cNvPr>
        <xdr:cNvGrpSpPr/>
      </xdr:nvGrpSpPr>
      <xdr:grpSpPr>
        <a:xfrm>
          <a:off x="10174318" y="4305550"/>
          <a:ext cx="3090334" cy="1119340"/>
          <a:chOff x="10163735" y="4280648"/>
          <a:chExt cx="3081618" cy="1266262"/>
        </a:xfrm>
      </xdr:grpSpPr>
      <xdr:sp macro="" textlink="$D$126">
        <xdr:nvSpPr>
          <xdr:cNvPr id="11" name="Textfeld 10">
            <a:extLst>
              <a:ext uri="{FF2B5EF4-FFF2-40B4-BE49-F238E27FC236}">
                <a16:creationId xmlns:a16="http://schemas.microsoft.com/office/drawing/2014/main" id="{00000000-0008-0000-0A00-00000B000000}"/>
              </a:ext>
            </a:extLst>
          </xdr:cNvPr>
          <xdr:cNvSpPr txBox="1"/>
        </xdr:nvSpPr>
        <xdr:spPr>
          <a:xfrm>
            <a:off x="10163735" y="4650439"/>
            <a:ext cx="3081600" cy="896471"/>
          </a:xfrm>
          <a:prstGeom prst="rect">
            <a:avLst/>
          </a:prstGeom>
          <a:noFill/>
          <a:ln>
            <a:solidFill>
              <a:schemeClr val="bg1">
                <a:lumMod val="50000"/>
              </a:schemeClr>
            </a:solidFill>
          </a:ln>
        </xdr:spPr>
        <xdr:txBody>
          <a:bodyPr vertOverflow="clip" horzOverflow="clip" wrap="square" rtlCol="0" anchor="t">
            <a:noAutofit/>
          </a:bodyPr>
          <a:lstStyle/>
          <a:p>
            <a:pPr algn="ctr"/>
            <a:fld id="{C2BF7F2C-B3FD-404D-B601-1F9C893DA07A}" type="TxLink">
              <a:rPr lang="en-US" sz="1000" b="0" i="0" u="none" strike="noStrike" dirty="0" err="1" smtClean="0">
                <a:solidFill>
                  <a:sysClr val="windowText" lastClr="000000"/>
                </a:solidFill>
                <a:latin typeface="Arial"/>
                <a:cs typeface="Arial"/>
              </a:rPr>
              <a:pPr algn="ctr"/>
              <a:t> </a:t>
            </a:fld>
            <a:endParaRPr lang="de-DE" sz="1100" dirty="0" err="1">
              <a:solidFill>
                <a:sysClr val="windowText" lastClr="000000"/>
              </a:solidFill>
            </a:endParaRPr>
          </a:p>
        </xdr:txBody>
      </xdr:sp>
      <xdr:sp macro="" textlink="">
        <xdr:nvSpPr>
          <xdr:cNvPr id="13" name="Rechteck 12">
            <a:extLst>
              <a:ext uri="{FF2B5EF4-FFF2-40B4-BE49-F238E27FC236}">
                <a16:creationId xmlns:a16="http://schemas.microsoft.com/office/drawing/2014/main" id="{00000000-0008-0000-0A00-00000D000000}"/>
              </a:ext>
            </a:extLst>
          </xdr:cNvPr>
          <xdr:cNvSpPr/>
        </xdr:nvSpPr>
        <xdr:spPr bwMode="auto">
          <a:xfrm>
            <a:off x="10163735" y="4280648"/>
            <a:ext cx="3081618" cy="369794"/>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grpSp>
    <xdr:clientData/>
  </xdr:twoCellAnchor>
</xdr:wsDr>
</file>

<file path=xl/drawings/drawing24.xml><?xml version="1.0" encoding="utf-8"?>
<c:userShapes xmlns:c="http://schemas.openxmlformats.org/drawingml/2006/chart">
  <cdr:relSizeAnchor xmlns:cdr="http://schemas.openxmlformats.org/drawingml/2006/chartDrawing">
    <cdr:from>
      <cdr:x>0.23302</cdr:x>
      <cdr:y>0.03526</cdr:y>
    </cdr:from>
    <cdr:to>
      <cdr:x>0.32481</cdr:x>
      <cdr:y>0.09125</cdr:y>
    </cdr:to>
    <cdr:sp macro="" textlink="'M5 PV-Anlage'!$E$118">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55401" y="151028"/>
          <a:ext cx="61269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286,5</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0.09125</cdr:y>
    </cdr:to>
    <cdr:sp macro="" textlink="'M5 PV-Anlage'!$F$118">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7325" y="151028"/>
          <a:ext cx="61269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180,4</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0.09125</cdr:y>
    </cdr:to>
    <cdr:sp macro="" textlink="'M5 PV-Anlage'!$G$118">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57930" y="151028"/>
          <a:ext cx="61262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88,9</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5.xml><?xml version="1.0" encoding="utf-8"?>
<c:userShapes xmlns:c="http://schemas.openxmlformats.org/drawingml/2006/chart">
  <cdr:relSizeAnchor xmlns:cdr="http://schemas.openxmlformats.org/drawingml/2006/chartDrawing">
    <cdr:from>
      <cdr:x>0.51422</cdr:x>
      <cdr:y>0.04219</cdr:y>
    </cdr:from>
    <cdr:to>
      <cdr:x>0.63321</cdr:x>
      <cdr:y>0.10616</cdr:y>
    </cdr:to>
    <cdr:sp macro="" textlink="'M5 PV-Anlage'!$N$75">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43209" y="158158"/>
          <a:ext cx="72733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55D49D8-351D-4558-B666-51CE68327D24}" type="TxLink">
            <a:rPr lang="en-US" sz="1000" b="1" i="0" u="none" strike="noStrike" dirty="0" err="1">
              <a:solidFill>
                <a:srgbClr val="323232"/>
              </a:solidFill>
              <a:latin typeface="Arial"/>
              <a:cs typeface="Arial"/>
            </a:rPr>
            <a:pPr/>
            <a:t>10.798</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0.10616</cdr:y>
    </cdr:to>
    <cdr:sp macro="" textlink="'M5 PV-Anlage'!$O$75">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53019" y="158158"/>
          <a:ext cx="72733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10.693</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5 PV-Anlage'!$M$75">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9CF402-88B5-46D7-A343-88D2E6D3D18E}"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6.xml><?xml version="1.0" encoding="utf-8"?>
<c:userShapes xmlns:c="http://schemas.openxmlformats.org/drawingml/2006/chart">
  <cdr:relSizeAnchor xmlns:cdr="http://schemas.openxmlformats.org/drawingml/2006/chartDrawing">
    <cdr:from>
      <cdr:x>0.24983</cdr:x>
      <cdr:y>0.03789</cdr:y>
    </cdr:from>
    <cdr:to>
      <cdr:x>0.38319</cdr:x>
      <cdr:y>0.09388</cdr:y>
    </cdr:to>
    <cdr:sp macro="" textlink="'M5 PV-Anlage'!$U$12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70293" y="162293"/>
          <a:ext cx="89160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0.09388</cdr:y>
    </cdr:to>
    <cdr:sp macro="" textlink="'M5 PV-Anlage'!$V$126">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3001" y="162293"/>
          <a:ext cx="89167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677.363 €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0.09388</cdr:y>
    </cdr:to>
    <cdr:sp macro="" textlink="'M5 PV-Anlage'!$W$126">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8011" y="162293"/>
          <a:ext cx="8915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1.046.888 €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7.xml><?xml version="1.0" encoding="utf-8"?>
<c:userShapes xmlns:c="http://schemas.openxmlformats.org/drawingml/2006/chart">
  <cdr:relSizeAnchor xmlns:cdr="http://schemas.openxmlformats.org/drawingml/2006/chartDrawing">
    <cdr:from>
      <cdr:x>0.26001</cdr:x>
      <cdr:y>0</cdr:y>
    </cdr:from>
    <cdr:to>
      <cdr:x>0.35189</cdr:x>
      <cdr:y>1</cdr:y>
    </cdr:to>
    <cdr:sp macro="" textlink="'M5 PV-Anlage'!$M$122">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4260" y="0"/>
          <a:ext cx="59870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5 PV-Anlage'!$N$122">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43582" y="0"/>
          <a:ext cx="5987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10.511</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5 PV-Anlage'!$O$122">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38516" y="0"/>
          <a:ext cx="5987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10.497</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8.xml><?xml version="1.0" encoding="utf-8"?>
<xdr:wsDr xmlns:xdr="http://schemas.openxmlformats.org/drawingml/2006/spreadsheetDrawing" xmlns:a="http://schemas.openxmlformats.org/drawingml/2006/main">
  <xdr:twoCellAnchor>
    <xdr:from>
      <xdr:col>2</xdr:col>
      <xdr:colOff>560292</xdr:colOff>
      <xdr:row>41</xdr:row>
      <xdr:rowOff>117661</xdr:rowOff>
    </xdr:from>
    <xdr:to>
      <xdr:col>8</xdr:col>
      <xdr:colOff>539185</xdr:colOff>
      <xdr:row>68</xdr:row>
      <xdr:rowOff>28948</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799740</xdr:colOff>
      <xdr:row>45</xdr:row>
      <xdr:rowOff>33094</xdr:rowOff>
    </xdr:from>
    <xdr:to>
      <xdr:col>15</xdr:col>
      <xdr:colOff>778217</xdr:colOff>
      <xdr:row>68</xdr:row>
      <xdr:rowOff>57523</xdr:rowOff>
    </xdr:to>
    <xdr:graphicFrame macro="">
      <xdr:nvGraphicFramePr>
        <xdr:cNvPr id="3" name="Diagram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523875</xdr:colOff>
          <xdr:row>77</xdr:row>
          <xdr:rowOff>28575</xdr:rowOff>
        </xdr:from>
        <xdr:to>
          <xdr:col>2</xdr:col>
          <xdr:colOff>704850</xdr:colOff>
          <xdr:row>78</xdr:row>
          <xdr:rowOff>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B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78</xdr:row>
          <xdr:rowOff>28575</xdr:rowOff>
        </xdr:from>
        <xdr:to>
          <xdr:col>2</xdr:col>
          <xdr:colOff>704850</xdr:colOff>
          <xdr:row>78</xdr:row>
          <xdr:rowOff>190500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B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79</xdr:row>
          <xdr:rowOff>28575</xdr:rowOff>
        </xdr:from>
        <xdr:to>
          <xdr:col>2</xdr:col>
          <xdr:colOff>704850</xdr:colOff>
          <xdr:row>79</xdr:row>
          <xdr:rowOff>180975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B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80</xdr:row>
          <xdr:rowOff>19050</xdr:rowOff>
        </xdr:from>
        <xdr:to>
          <xdr:col>2</xdr:col>
          <xdr:colOff>704850</xdr:colOff>
          <xdr:row>80</xdr:row>
          <xdr:rowOff>190500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B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81</xdr:row>
          <xdr:rowOff>19050</xdr:rowOff>
        </xdr:from>
        <xdr:to>
          <xdr:col>2</xdr:col>
          <xdr:colOff>704850</xdr:colOff>
          <xdr:row>81</xdr:row>
          <xdr:rowOff>180975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B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82</xdr:row>
          <xdr:rowOff>0</xdr:rowOff>
        </xdr:from>
        <xdr:to>
          <xdr:col>2</xdr:col>
          <xdr:colOff>704850</xdr:colOff>
          <xdr:row>82</xdr:row>
          <xdr:rowOff>180975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B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83</xdr:row>
          <xdr:rowOff>9525</xdr:rowOff>
        </xdr:from>
        <xdr:to>
          <xdr:col>2</xdr:col>
          <xdr:colOff>704850</xdr:colOff>
          <xdr:row>83</xdr:row>
          <xdr:rowOff>190500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B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41</xdr:row>
      <xdr:rowOff>117663</xdr:rowOff>
    </xdr:from>
    <xdr:to>
      <xdr:col>25</xdr:col>
      <xdr:colOff>445249</xdr:colOff>
      <xdr:row>68</xdr:row>
      <xdr:rowOff>28948</xdr:rowOff>
    </xdr:to>
    <xdr:graphicFrame macro="">
      <xdr:nvGraphicFramePr>
        <xdr:cNvPr id="4" name="Diagram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88</xdr:row>
          <xdr:rowOff>0</xdr:rowOff>
        </xdr:from>
        <xdr:to>
          <xdr:col>18</xdr:col>
          <xdr:colOff>676275</xdr:colOff>
          <xdr:row>88</xdr:row>
          <xdr:rowOff>180975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B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89</xdr:row>
          <xdr:rowOff>19050</xdr:rowOff>
        </xdr:from>
        <xdr:to>
          <xdr:col>19</xdr:col>
          <xdr:colOff>0</xdr:colOff>
          <xdr:row>90</xdr:row>
          <xdr:rowOff>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B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90</xdr:row>
          <xdr:rowOff>19050</xdr:rowOff>
        </xdr:from>
        <xdr:to>
          <xdr:col>19</xdr:col>
          <xdr:colOff>0</xdr:colOff>
          <xdr:row>91</xdr:row>
          <xdr:rowOff>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B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91</xdr:row>
          <xdr:rowOff>9525</xdr:rowOff>
        </xdr:from>
        <xdr:to>
          <xdr:col>19</xdr:col>
          <xdr:colOff>0</xdr:colOff>
          <xdr:row>91</xdr:row>
          <xdr:rowOff>190500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B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86</xdr:row>
          <xdr:rowOff>9525</xdr:rowOff>
        </xdr:from>
        <xdr:to>
          <xdr:col>18</xdr:col>
          <xdr:colOff>676275</xdr:colOff>
          <xdr:row>87</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B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85</xdr:row>
          <xdr:rowOff>0</xdr:rowOff>
        </xdr:from>
        <xdr:to>
          <xdr:col>18</xdr:col>
          <xdr:colOff>676275</xdr:colOff>
          <xdr:row>86</xdr:row>
          <xdr:rowOff>9525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B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87</xdr:row>
          <xdr:rowOff>9525</xdr:rowOff>
        </xdr:from>
        <xdr:to>
          <xdr:col>18</xdr:col>
          <xdr:colOff>676275</xdr:colOff>
          <xdr:row>88</xdr:row>
          <xdr:rowOff>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B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763079</xdr:colOff>
      <xdr:row>113</xdr:row>
      <xdr:rowOff>920</xdr:rowOff>
    </xdr:from>
    <xdr:to>
      <xdr:col>16</xdr:col>
      <xdr:colOff>230714</xdr:colOff>
      <xdr:row>136</xdr:row>
      <xdr:rowOff>81836</xdr:rowOff>
    </xdr:to>
    <xdr:graphicFrame macro="">
      <xdr:nvGraphicFramePr>
        <xdr:cNvPr id="5" name="Diagramm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514350</xdr:colOff>
          <xdr:row>85</xdr:row>
          <xdr:rowOff>152400</xdr:rowOff>
        </xdr:from>
        <xdr:to>
          <xdr:col>10</xdr:col>
          <xdr:colOff>723900</xdr:colOff>
          <xdr:row>87</xdr:row>
          <xdr:rowOff>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B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86</xdr:row>
          <xdr:rowOff>171450</xdr:rowOff>
        </xdr:from>
        <xdr:to>
          <xdr:col>10</xdr:col>
          <xdr:colOff>723900</xdr:colOff>
          <xdr:row>87</xdr:row>
          <xdr:rowOff>190500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B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87</xdr:row>
          <xdr:rowOff>180975</xdr:rowOff>
        </xdr:from>
        <xdr:to>
          <xdr:col>10</xdr:col>
          <xdr:colOff>723900</xdr:colOff>
          <xdr:row>88</xdr:row>
          <xdr:rowOff>190500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B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88</xdr:row>
          <xdr:rowOff>180975</xdr:rowOff>
        </xdr:from>
        <xdr:to>
          <xdr:col>10</xdr:col>
          <xdr:colOff>723900</xdr:colOff>
          <xdr:row>90</xdr:row>
          <xdr:rowOff>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B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89</xdr:row>
          <xdr:rowOff>180975</xdr:rowOff>
        </xdr:from>
        <xdr:to>
          <xdr:col>10</xdr:col>
          <xdr:colOff>723900</xdr:colOff>
          <xdr:row>91</xdr:row>
          <xdr:rowOff>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B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90</xdr:row>
          <xdr:rowOff>180975</xdr:rowOff>
        </xdr:from>
        <xdr:to>
          <xdr:col>10</xdr:col>
          <xdr:colOff>723900</xdr:colOff>
          <xdr:row>92</xdr:row>
          <xdr:rowOff>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B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91</xdr:row>
          <xdr:rowOff>180975</xdr:rowOff>
        </xdr:from>
        <xdr:to>
          <xdr:col>10</xdr:col>
          <xdr:colOff>723900</xdr:colOff>
          <xdr:row>93</xdr:row>
          <xdr:rowOff>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B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92</xdr:row>
          <xdr:rowOff>190500</xdr:rowOff>
        </xdr:from>
        <xdr:to>
          <xdr:col>10</xdr:col>
          <xdr:colOff>723900</xdr:colOff>
          <xdr:row>93</xdr:row>
          <xdr:rowOff>190500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B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93</xdr:row>
          <xdr:rowOff>180975</xdr:rowOff>
        </xdr:from>
        <xdr:to>
          <xdr:col>10</xdr:col>
          <xdr:colOff>723900</xdr:colOff>
          <xdr:row>94</xdr:row>
          <xdr:rowOff>190500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B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94</xdr:row>
          <xdr:rowOff>171450</xdr:rowOff>
        </xdr:from>
        <xdr:to>
          <xdr:col>10</xdr:col>
          <xdr:colOff>723900</xdr:colOff>
          <xdr:row>95</xdr:row>
          <xdr:rowOff>180975</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B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95</xdr:row>
          <xdr:rowOff>171450</xdr:rowOff>
        </xdr:from>
        <xdr:to>
          <xdr:col>10</xdr:col>
          <xdr:colOff>723900</xdr:colOff>
          <xdr:row>96</xdr:row>
          <xdr:rowOff>180975</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B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707571</xdr:colOff>
      <xdr:row>83</xdr:row>
      <xdr:rowOff>76042</xdr:rowOff>
    </xdr:from>
    <xdr:to>
      <xdr:col>10</xdr:col>
      <xdr:colOff>762000</xdr:colOff>
      <xdr:row>97</xdr:row>
      <xdr:rowOff>155282</xdr:rowOff>
    </xdr:to>
    <xdr:sp macro="" textlink="">
      <xdr:nvSpPr>
        <xdr:cNvPr id="6" name="Rechteck 5">
          <a:extLst>
            <a:ext uri="{FF2B5EF4-FFF2-40B4-BE49-F238E27FC236}">
              <a16:creationId xmlns:a16="http://schemas.microsoft.com/office/drawing/2014/main" id="{00000000-0008-0000-0B00-000006000000}"/>
            </a:ext>
          </a:extLst>
        </xdr:cNvPr>
        <xdr:cNvSpPr/>
      </xdr:nvSpPr>
      <xdr:spPr bwMode="auto">
        <a:xfrm>
          <a:off x="8622846" y="13363417"/>
          <a:ext cx="873579" cy="287006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9</xdr:col>
      <xdr:colOff>415636</xdr:colOff>
      <xdr:row>35</xdr:row>
      <xdr:rowOff>121226</xdr:rowOff>
    </xdr:from>
    <xdr:to>
      <xdr:col>9</xdr:col>
      <xdr:colOff>523636</xdr:colOff>
      <xdr:row>110</xdr:row>
      <xdr:rowOff>88499</xdr:rowOff>
    </xdr:to>
    <xdr:sp macro="" textlink="">
      <xdr:nvSpPr>
        <xdr:cNvPr id="7" name="Rechteck 6">
          <a:extLst>
            <a:ext uri="{FF2B5EF4-FFF2-40B4-BE49-F238E27FC236}">
              <a16:creationId xmlns:a16="http://schemas.microsoft.com/office/drawing/2014/main" id="{00000000-0008-0000-0B00-000007000000}"/>
            </a:ext>
          </a:extLst>
        </xdr:cNvPr>
        <xdr:cNvSpPr/>
      </xdr:nvSpPr>
      <xdr:spPr bwMode="auto">
        <a:xfrm>
          <a:off x="8330911" y="5207576"/>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35</xdr:row>
      <xdr:rowOff>117762</xdr:rowOff>
    </xdr:from>
    <xdr:to>
      <xdr:col>17</xdr:col>
      <xdr:colOff>295035</xdr:colOff>
      <xdr:row>110</xdr:row>
      <xdr:rowOff>85035</xdr:rowOff>
    </xdr:to>
    <xdr:sp macro="" textlink="">
      <xdr:nvSpPr>
        <xdr:cNvPr id="8" name="Rechteck 7">
          <a:extLst>
            <a:ext uri="{FF2B5EF4-FFF2-40B4-BE49-F238E27FC236}">
              <a16:creationId xmlns:a16="http://schemas.microsoft.com/office/drawing/2014/main" id="{00000000-0008-0000-0B00-000008000000}"/>
            </a:ext>
          </a:extLst>
        </xdr:cNvPr>
        <xdr:cNvSpPr/>
      </xdr:nvSpPr>
      <xdr:spPr bwMode="auto">
        <a:xfrm>
          <a:off x="16655760" y="5204112"/>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26</xdr:row>
      <xdr:rowOff>142875</xdr:rowOff>
    </xdr:from>
    <xdr:to>
      <xdr:col>11</xdr:col>
      <xdr:colOff>1018200</xdr:colOff>
      <xdr:row>26</xdr:row>
      <xdr:rowOff>142875</xdr:rowOff>
    </xdr:to>
    <xdr:cxnSp macro="">
      <xdr:nvCxnSpPr>
        <xdr:cNvPr id="9" name="Gerader Verbinder 8">
          <a:extLst>
            <a:ext uri="{FF2B5EF4-FFF2-40B4-BE49-F238E27FC236}">
              <a16:creationId xmlns:a16="http://schemas.microsoft.com/office/drawing/2014/main" id="{00000000-0008-0000-0B00-000009000000}"/>
            </a:ext>
          </a:extLst>
        </xdr:cNvPr>
        <xdr:cNvCxnSpPr/>
      </xdr:nvCxnSpPr>
      <xdr:spPr bwMode="auto">
        <a:xfrm>
          <a:off x="1222001" y="5398434"/>
          <a:ext cx="9321199"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695325</xdr:colOff>
      <xdr:row>17</xdr:row>
      <xdr:rowOff>0</xdr:rowOff>
    </xdr:from>
    <xdr:to>
      <xdr:col>11</xdr:col>
      <xdr:colOff>1018200</xdr:colOff>
      <xdr:row>17</xdr:row>
      <xdr:rowOff>0</xdr:rowOff>
    </xdr:to>
    <xdr:cxnSp macro="">
      <xdr:nvCxnSpPr>
        <xdr:cNvPr id="12" name="Gerader Verbinder 11">
          <a:extLst>
            <a:ext uri="{FF2B5EF4-FFF2-40B4-BE49-F238E27FC236}">
              <a16:creationId xmlns:a16="http://schemas.microsoft.com/office/drawing/2014/main" id="{00000000-0008-0000-0B00-00000C000000}"/>
            </a:ext>
          </a:extLst>
        </xdr:cNvPr>
        <xdr:cNvCxnSpPr/>
      </xdr:nvCxnSpPr>
      <xdr:spPr bwMode="auto">
        <a:xfrm>
          <a:off x="1222001" y="3429000"/>
          <a:ext cx="9321199"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11</xdr:col>
      <xdr:colOff>582706</xdr:colOff>
      <xdr:row>17</xdr:row>
      <xdr:rowOff>156882</xdr:rowOff>
    </xdr:from>
    <xdr:to>
      <xdr:col>12</xdr:col>
      <xdr:colOff>392206</xdr:colOff>
      <xdr:row>22</xdr:row>
      <xdr:rowOff>145678</xdr:rowOff>
    </xdr:to>
    <xdr:grpSp>
      <xdr:nvGrpSpPr>
        <xdr:cNvPr id="13" name="Gruppieren 12">
          <a:extLst>
            <a:ext uri="{FF2B5EF4-FFF2-40B4-BE49-F238E27FC236}">
              <a16:creationId xmlns:a16="http://schemas.microsoft.com/office/drawing/2014/main" id="{00000000-0008-0000-0B00-00000D000000}"/>
            </a:ext>
          </a:extLst>
        </xdr:cNvPr>
        <xdr:cNvGrpSpPr/>
      </xdr:nvGrpSpPr>
      <xdr:grpSpPr>
        <a:xfrm>
          <a:off x="10118289" y="6422215"/>
          <a:ext cx="3090334" cy="1152963"/>
          <a:chOff x="10107706" y="6387353"/>
          <a:chExt cx="3081618" cy="1143001"/>
        </a:xfrm>
      </xdr:grpSpPr>
      <xdr:sp macro="" textlink="$D$131">
        <xdr:nvSpPr>
          <xdr:cNvPr id="11" name="Textfeld 10">
            <a:extLst>
              <a:ext uri="{FF2B5EF4-FFF2-40B4-BE49-F238E27FC236}">
                <a16:creationId xmlns:a16="http://schemas.microsoft.com/office/drawing/2014/main" id="{00000000-0008-0000-0B00-00000B000000}"/>
              </a:ext>
            </a:extLst>
          </xdr:cNvPr>
          <xdr:cNvSpPr txBox="1"/>
        </xdr:nvSpPr>
        <xdr:spPr>
          <a:xfrm>
            <a:off x="10107706" y="6757148"/>
            <a:ext cx="3081600" cy="773206"/>
          </a:xfrm>
          <a:prstGeom prst="rect">
            <a:avLst/>
          </a:prstGeom>
          <a:noFill/>
          <a:ln>
            <a:solidFill>
              <a:schemeClr val="bg1">
                <a:lumMod val="50000"/>
              </a:schemeClr>
            </a:solidFill>
          </a:ln>
        </xdr:spPr>
        <xdr:txBody>
          <a:bodyPr vertOverflow="clip" horzOverflow="clip" wrap="square" rtlCol="0" anchor="t">
            <a:noAutofit/>
          </a:bodyPr>
          <a:lstStyle/>
          <a:p>
            <a:pPr algn="ctr"/>
            <a:fld id="{B58545AA-70CF-48A7-BB8D-821AEF935C24}" type="TxLink">
              <a:rPr lang="en-US" sz="1000" b="0" i="0" u="none" strike="noStrike" dirty="0" err="1" smtClean="0">
                <a:solidFill>
                  <a:sysClr val="windowText" lastClr="000000"/>
                </a:solidFill>
                <a:latin typeface="Arial"/>
                <a:cs typeface="Arial"/>
              </a:rPr>
              <a:pPr algn="ctr"/>
              <a:t> </a:t>
            </a:fld>
            <a:endParaRPr lang="de-DE" sz="1100" dirty="0" err="1">
              <a:solidFill>
                <a:sysClr val="windowText" lastClr="000000"/>
              </a:solidFill>
            </a:endParaRPr>
          </a:p>
        </xdr:txBody>
      </xdr:sp>
      <xdr:sp macro="" textlink="">
        <xdr:nvSpPr>
          <xdr:cNvPr id="10" name="Rechteck 9">
            <a:extLst>
              <a:ext uri="{FF2B5EF4-FFF2-40B4-BE49-F238E27FC236}">
                <a16:creationId xmlns:a16="http://schemas.microsoft.com/office/drawing/2014/main" id="{00000000-0008-0000-0B00-00000A000000}"/>
              </a:ext>
            </a:extLst>
          </xdr:cNvPr>
          <xdr:cNvSpPr/>
        </xdr:nvSpPr>
        <xdr:spPr bwMode="auto">
          <a:xfrm>
            <a:off x="10107706" y="6387353"/>
            <a:ext cx="3081618" cy="369794"/>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grpSp>
    <xdr:clientData/>
  </xdr:twoCellAnchor>
</xdr:wsDr>
</file>

<file path=xl/drawings/drawing29.xml><?xml version="1.0" encoding="utf-8"?>
<c:userShapes xmlns:c="http://schemas.openxmlformats.org/drawingml/2006/chart">
  <cdr:relSizeAnchor xmlns:cdr="http://schemas.openxmlformats.org/drawingml/2006/chartDrawing">
    <cdr:from>
      <cdr:x>0.23302</cdr:x>
      <cdr:y>0.03526</cdr:y>
    </cdr:from>
    <cdr:to>
      <cdr:x>0.32481</cdr:x>
      <cdr:y>0.08712</cdr:y>
    </cdr:to>
    <cdr:sp macro="" textlink="'M6 allgemeine Effizienz'!$E$124">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55179" y="163051"/>
          <a:ext cx="61260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8,2</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0.08712</cdr:y>
    </cdr:to>
    <cdr:sp macro="" textlink="'M6 allgemeine Effizienz'!$F$124">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6829" y="163051"/>
          <a:ext cx="61260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8,2</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0.08712</cdr:y>
    </cdr:to>
    <cdr:sp macro="" textlink="'M6 allgemeine Effizienz'!$G$124">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57166" y="163051"/>
          <a:ext cx="6125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8,2</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0.xml><?xml version="1.0" encoding="utf-8"?>
<c:userShapes xmlns:c="http://schemas.openxmlformats.org/drawingml/2006/chart">
  <cdr:relSizeAnchor xmlns:cdr="http://schemas.openxmlformats.org/drawingml/2006/chartDrawing">
    <cdr:from>
      <cdr:x>0.51422</cdr:x>
      <cdr:y>0.04219</cdr:y>
    </cdr:from>
    <cdr:to>
      <cdr:x>0.63321</cdr:x>
      <cdr:y>0.10386</cdr:y>
    </cdr:to>
    <cdr:sp macro="" textlink="'M6 allgemeine Effizienz'!$N$81">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7101" y="164058"/>
          <a:ext cx="72592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E864E25-8EBA-436B-A38A-6B11F0A9F32D}" type="TxLink">
            <a:rPr lang="en-US" sz="1000" b="1" i="0" u="none" strike="noStrike" dirty="0" err="1">
              <a:solidFill>
                <a:srgbClr val="323232"/>
              </a:solidFill>
              <a:latin typeface="Arial"/>
              <a:cs typeface="Arial"/>
            </a:rPr>
            <a:pPr/>
            <a:t>10.814</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0.10156</cdr:y>
    </cdr:to>
    <cdr:sp macro="" textlink="'M6 allgemeine Effizienz'!$O$81">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51003" y="170401"/>
          <a:ext cx="72703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10.698</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6 allgemeine Effizienz'!$M$81">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E6395F6-F544-46F2-8163-ECB81A423445}"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1.xml><?xml version="1.0" encoding="utf-8"?>
<c:userShapes xmlns:c="http://schemas.openxmlformats.org/drawingml/2006/chart">
  <cdr:relSizeAnchor xmlns:cdr="http://schemas.openxmlformats.org/drawingml/2006/chartDrawing">
    <cdr:from>
      <cdr:x>0.24983</cdr:x>
      <cdr:y>0.03789</cdr:y>
    </cdr:from>
    <cdr:to>
      <cdr:x>0.38319</cdr:x>
      <cdr:y>0.08975</cdr:y>
    </cdr:to>
    <cdr:sp macro="" textlink="'M6 allgemeine Effizienz'!$U$132">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6406" y="175213"/>
          <a:ext cx="88953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0.08975</cdr:y>
    </cdr:to>
    <cdr:sp macro="" textlink="'M6 allgemeine Effizienz'!$V$132">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85106" y="175213"/>
          <a:ext cx="88959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655.955 €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0.08975</cdr:y>
    </cdr:to>
    <cdr:sp macro="" textlink="'M6 allgemeine Effizienz'!$W$132">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85916" y="175213"/>
          <a:ext cx="88946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1.025.161 €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2.xml><?xml version="1.0" encoding="utf-8"?>
<c:userShapes xmlns:c="http://schemas.openxmlformats.org/drawingml/2006/chart">
  <cdr:relSizeAnchor xmlns:cdr="http://schemas.openxmlformats.org/drawingml/2006/chartDrawing">
    <cdr:from>
      <cdr:x>0.26001</cdr:x>
      <cdr:y>0</cdr:y>
    </cdr:from>
    <cdr:to>
      <cdr:x>0.35189</cdr:x>
      <cdr:y>1</cdr:y>
    </cdr:to>
    <cdr:sp macro="" textlink="'M6 allgemeine Effizienz'!$M$128">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2197" y="0"/>
          <a:ext cx="59797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6 allgemeine Effizienz'!$N$128">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39387" y="0"/>
          <a:ext cx="59803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10.508</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6 allgemeine Effizienz'!$O$128">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32136" y="0"/>
          <a:ext cx="59803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10.493</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3.xml><?xml version="1.0" encoding="utf-8"?>
<xdr:wsDr xmlns:xdr="http://schemas.openxmlformats.org/drawingml/2006/spreadsheetDrawing" xmlns:a="http://schemas.openxmlformats.org/drawingml/2006/main">
  <xdr:twoCellAnchor>
    <xdr:from>
      <xdr:col>10</xdr:col>
      <xdr:colOff>799740</xdr:colOff>
      <xdr:row>57</xdr:row>
      <xdr:rowOff>33094</xdr:rowOff>
    </xdr:from>
    <xdr:to>
      <xdr:col>15</xdr:col>
      <xdr:colOff>778217</xdr:colOff>
      <xdr:row>80</xdr:row>
      <xdr:rowOff>57523</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523875</xdr:colOff>
          <xdr:row>98</xdr:row>
          <xdr:rowOff>28575</xdr:rowOff>
        </xdr:from>
        <xdr:to>
          <xdr:col>10</xdr:col>
          <xdr:colOff>704850</xdr:colOff>
          <xdr:row>98</xdr:row>
          <xdr:rowOff>190500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C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99</xdr:row>
          <xdr:rowOff>28575</xdr:rowOff>
        </xdr:from>
        <xdr:to>
          <xdr:col>10</xdr:col>
          <xdr:colOff>704850</xdr:colOff>
          <xdr:row>99</xdr:row>
          <xdr:rowOff>190500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C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100</xdr:row>
          <xdr:rowOff>28575</xdr:rowOff>
        </xdr:from>
        <xdr:to>
          <xdr:col>10</xdr:col>
          <xdr:colOff>704850</xdr:colOff>
          <xdr:row>100</xdr:row>
          <xdr:rowOff>180975</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C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101</xdr:row>
          <xdr:rowOff>19050</xdr:rowOff>
        </xdr:from>
        <xdr:to>
          <xdr:col>10</xdr:col>
          <xdr:colOff>704850</xdr:colOff>
          <xdr:row>101</xdr:row>
          <xdr:rowOff>190500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C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102</xdr:row>
          <xdr:rowOff>19050</xdr:rowOff>
        </xdr:from>
        <xdr:to>
          <xdr:col>10</xdr:col>
          <xdr:colOff>704850</xdr:colOff>
          <xdr:row>102</xdr:row>
          <xdr:rowOff>180975</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C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103</xdr:row>
          <xdr:rowOff>0</xdr:rowOff>
        </xdr:from>
        <xdr:to>
          <xdr:col>10</xdr:col>
          <xdr:colOff>704850</xdr:colOff>
          <xdr:row>103</xdr:row>
          <xdr:rowOff>180975</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C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104</xdr:row>
          <xdr:rowOff>9525</xdr:rowOff>
        </xdr:from>
        <xdr:to>
          <xdr:col>10</xdr:col>
          <xdr:colOff>704850</xdr:colOff>
          <xdr:row>104</xdr:row>
          <xdr:rowOff>190500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C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53</xdr:row>
      <xdr:rowOff>117663</xdr:rowOff>
    </xdr:from>
    <xdr:to>
      <xdr:col>25</xdr:col>
      <xdr:colOff>445249</xdr:colOff>
      <xdr:row>80</xdr:row>
      <xdr:rowOff>28948</xdr:rowOff>
    </xdr:to>
    <xdr:graphicFrame macro="">
      <xdr:nvGraphicFramePr>
        <xdr:cNvPr id="4" name="Diagramm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100</xdr:row>
          <xdr:rowOff>0</xdr:rowOff>
        </xdr:from>
        <xdr:to>
          <xdr:col>18</xdr:col>
          <xdr:colOff>676275</xdr:colOff>
          <xdr:row>100</xdr:row>
          <xdr:rowOff>180975</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C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101</xdr:row>
          <xdr:rowOff>19050</xdr:rowOff>
        </xdr:from>
        <xdr:to>
          <xdr:col>19</xdr:col>
          <xdr:colOff>0</xdr:colOff>
          <xdr:row>102</xdr:row>
          <xdr:rowOff>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C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102</xdr:row>
          <xdr:rowOff>19050</xdr:rowOff>
        </xdr:from>
        <xdr:to>
          <xdr:col>19</xdr:col>
          <xdr:colOff>0</xdr:colOff>
          <xdr:row>102</xdr:row>
          <xdr:rowOff>200025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C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103</xdr:row>
          <xdr:rowOff>9525</xdr:rowOff>
        </xdr:from>
        <xdr:to>
          <xdr:col>19</xdr:col>
          <xdr:colOff>0</xdr:colOff>
          <xdr:row>103</xdr:row>
          <xdr:rowOff>190500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C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98</xdr:row>
          <xdr:rowOff>9525</xdr:rowOff>
        </xdr:from>
        <xdr:to>
          <xdr:col>18</xdr:col>
          <xdr:colOff>676275</xdr:colOff>
          <xdr:row>99</xdr:row>
          <xdr:rowOff>9525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C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97</xdr:row>
          <xdr:rowOff>0</xdr:rowOff>
        </xdr:from>
        <xdr:to>
          <xdr:col>18</xdr:col>
          <xdr:colOff>676275</xdr:colOff>
          <xdr:row>97</xdr:row>
          <xdr:rowOff>180975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C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99</xdr:row>
          <xdr:rowOff>9525</xdr:rowOff>
        </xdr:from>
        <xdr:to>
          <xdr:col>18</xdr:col>
          <xdr:colOff>676275</xdr:colOff>
          <xdr:row>100</xdr:row>
          <xdr:rowOff>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C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88</xdr:row>
          <xdr:rowOff>152400</xdr:rowOff>
        </xdr:from>
        <xdr:to>
          <xdr:col>2</xdr:col>
          <xdr:colOff>723900</xdr:colOff>
          <xdr:row>90</xdr:row>
          <xdr:rowOff>9525</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C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89</xdr:row>
          <xdr:rowOff>190500</xdr:rowOff>
        </xdr:from>
        <xdr:to>
          <xdr:col>2</xdr:col>
          <xdr:colOff>723900</xdr:colOff>
          <xdr:row>91</xdr:row>
          <xdr:rowOff>9525</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C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90</xdr:row>
          <xdr:rowOff>190500</xdr:rowOff>
        </xdr:from>
        <xdr:to>
          <xdr:col>2</xdr:col>
          <xdr:colOff>723900</xdr:colOff>
          <xdr:row>92</xdr:row>
          <xdr:rowOff>9525</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C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91</xdr:row>
          <xdr:rowOff>190500</xdr:rowOff>
        </xdr:from>
        <xdr:to>
          <xdr:col>2</xdr:col>
          <xdr:colOff>723900</xdr:colOff>
          <xdr:row>93</xdr:row>
          <xdr:rowOff>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C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92</xdr:row>
          <xdr:rowOff>190500</xdr:rowOff>
        </xdr:from>
        <xdr:to>
          <xdr:col>2</xdr:col>
          <xdr:colOff>723900</xdr:colOff>
          <xdr:row>93</xdr:row>
          <xdr:rowOff>200025</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C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93</xdr:row>
          <xdr:rowOff>180975</xdr:rowOff>
        </xdr:from>
        <xdr:to>
          <xdr:col>2</xdr:col>
          <xdr:colOff>723900</xdr:colOff>
          <xdr:row>94</xdr:row>
          <xdr:rowOff>190500</xdr:rowOff>
        </xdr:to>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C00-00001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94</xdr:row>
          <xdr:rowOff>171450</xdr:rowOff>
        </xdr:from>
        <xdr:to>
          <xdr:col>2</xdr:col>
          <xdr:colOff>723900</xdr:colOff>
          <xdr:row>96</xdr:row>
          <xdr:rowOff>0</xdr:rowOff>
        </xdr:to>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C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96</xdr:row>
          <xdr:rowOff>190500</xdr:rowOff>
        </xdr:from>
        <xdr:to>
          <xdr:col>2</xdr:col>
          <xdr:colOff>723900</xdr:colOff>
          <xdr:row>98</xdr:row>
          <xdr:rowOff>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C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97</xdr:row>
          <xdr:rowOff>180975</xdr:rowOff>
        </xdr:from>
        <xdr:to>
          <xdr:col>2</xdr:col>
          <xdr:colOff>723900</xdr:colOff>
          <xdr:row>99</xdr:row>
          <xdr:rowOff>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C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98</xdr:row>
          <xdr:rowOff>180975</xdr:rowOff>
        </xdr:from>
        <xdr:to>
          <xdr:col>2</xdr:col>
          <xdr:colOff>723900</xdr:colOff>
          <xdr:row>100</xdr:row>
          <xdr:rowOff>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C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99</xdr:row>
          <xdr:rowOff>180975</xdr:rowOff>
        </xdr:from>
        <xdr:to>
          <xdr:col>2</xdr:col>
          <xdr:colOff>723900</xdr:colOff>
          <xdr:row>101</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C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415636</xdr:colOff>
      <xdr:row>47</xdr:row>
      <xdr:rowOff>121226</xdr:rowOff>
    </xdr:from>
    <xdr:to>
      <xdr:col>9</xdr:col>
      <xdr:colOff>523636</xdr:colOff>
      <xdr:row>122</xdr:row>
      <xdr:rowOff>88499</xdr:rowOff>
    </xdr:to>
    <xdr:sp macro="" textlink="">
      <xdr:nvSpPr>
        <xdr:cNvPr id="7" name="Rechteck 6">
          <a:extLst>
            <a:ext uri="{FF2B5EF4-FFF2-40B4-BE49-F238E27FC236}">
              <a16:creationId xmlns:a16="http://schemas.microsoft.com/office/drawing/2014/main" id="{00000000-0008-0000-0C00-000007000000}"/>
            </a:ext>
          </a:extLst>
        </xdr:cNvPr>
        <xdr:cNvSpPr/>
      </xdr:nvSpPr>
      <xdr:spPr bwMode="auto">
        <a:xfrm>
          <a:off x="8330911" y="5207576"/>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47</xdr:row>
      <xdr:rowOff>117762</xdr:rowOff>
    </xdr:from>
    <xdr:to>
      <xdr:col>17</xdr:col>
      <xdr:colOff>295035</xdr:colOff>
      <xdr:row>122</xdr:row>
      <xdr:rowOff>85035</xdr:rowOff>
    </xdr:to>
    <xdr:sp macro="" textlink="">
      <xdr:nvSpPr>
        <xdr:cNvPr id="8" name="Rechteck 7">
          <a:extLst>
            <a:ext uri="{FF2B5EF4-FFF2-40B4-BE49-F238E27FC236}">
              <a16:creationId xmlns:a16="http://schemas.microsoft.com/office/drawing/2014/main" id="{00000000-0008-0000-0C00-000008000000}"/>
            </a:ext>
          </a:extLst>
        </xdr:cNvPr>
        <xdr:cNvSpPr/>
      </xdr:nvSpPr>
      <xdr:spPr bwMode="auto">
        <a:xfrm>
          <a:off x="16655760" y="5204112"/>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35</xdr:row>
      <xdr:rowOff>142875</xdr:rowOff>
    </xdr:from>
    <xdr:to>
      <xdr:col>11</xdr:col>
      <xdr:colOff>3061800</xdr:colOff>
      <xdr:row>35</xdr:row>
      <xdr:rowOff>142875</xdr:rowOff>
    </xdr:to>
    <xdr:cxnSp macro="">
      <xdr:nvCxnSpPr>
        <xdr:cNvPr id="9" name="Gerader Verbinder 8">
          <a:extLst>
            <a:ext uri="{FF2B5EF4-FFF2-40B4-BE49-F238E27FC236}">
              <a16:creationId xmlns:a16="http://schemas.microsoft.com/office/drawing/2014/main" id="{00000000-0008-0000-0C00-000009000000}"/>
            </a:ext>
          </a:extLst>
        </xdr:cNvPr>
        <xdr:cNvCxnSpPr/>
      </xdr:nvCxnSpPr>
      <xdr:spPr bwMode="auto">
        <a:xfrm>
          <a:off x="1228725" y="5991225"/>
          <a:ext cx="11520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695325</xdr:colOff>
      <xdr:row>30</xdr:row>
      <xdr:rowOff>133353</xdr:rowOff>
    </xdr:from>
    <xdr:to>
      <xdr:col>11</xdr:col>
      <xdr:colOff>3061800</xdr:colOff>
      <xdr:row>30</xdr:row>
      <xdr:rowOff>133353</xdr:rowOff>
    </xdr:to>
    <xdr:cxnSp macro="">
      <xdr:nvCxnSpPr>
        <xdr:cNvPr id="12" name="Gerader Verbinder 11">
          <a:extLst>
            <a:ext uri="{FF2B5EF4-FFF2-40B4-BE49-F238E27FC236}">
              <a16:creationId xmlns:a16="http://schemas.microsoft.com/office/drawing/2014/main" id="{00000000-0008-0000-0C00-00000C000000}"/>
            </a:ext>
          </a:extLst>
        </xdr:cNvPr>
        <xdr:cNvCxnSpPr/>
      </xdr:nvCxnSpPr>
      <xdr:spPr bwMode="auto">
        <a:xfrm>
          <a:off x="1228725" y="5114928"/>
          <a:ext cx="11520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683561</xdr:colOff>
      <xdr:row>124</xdr:row>
      <xdr:rowOff>67238</xdr:rowOff>
    </xdr:from>
    <xdr:to>
      <xdr:col>8</xdr:col>
      <xdr:colOff>662453</xdr:colOff>
      <xdr:row>145</xdr:row>
      <xdr:rowOff>124200</xdr:rowOff>
    </xdr:to>
    <xdr:graphicFrame macro="">
      <xdr:nvGraphicFramePr>
        <xdr:cNvPr id="14" name="Diagramm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529479</xdr:colOff>
      <xdr:row>54</xdr:row>
      <xdr:rowOff>152400</xdr:rowOff>
    </xdr:from>
    <xdr:to>
      <xdr:col>8</xdr:col>
      <xdr:colOff>180890</xdr:colOff>
      <xdr:row>83</xdr:row>
      <xdr:rowOff>82597</xdr:rowOff>
    </xdr:to>
    <xdr:graphicFrame macro="">
      <xdr:nvGraphicFramePr>
        <xdr:cNvPr id="15" name="Diagramm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514350</xdr:colOff>
          <xdr:row>95</xdr:row>
          <xdr:rowOff>180975</xdr:rowOff>
        </xdr:from>
        <xdr:to>
          <xdr:col>2</xdr:col>
          <xdr:colOff>723900</xdr:colOff>
          <xdr:row>97</xdr:row>
          <xdr:rowOff>9525</xdr:rowOff>
        </xdr:to>
        <xdr:sp macro="" textlink="">
          <xdr:nvSpPr>
            <xdr:cNvPr id="75806" name="Check Box 30" hidden="1">
              <a:extLst>
                <a:ext uri="{63B3BB69-23CF-44E3-9099-C40C66FF867C}">
                  <a14:compatExt spid="_x0000_s75806"/>
                </a:ext>
                <a:ext uri="{FF2B5EF4-FFF2-40B4-BE49-F238E27FC236}">
                  <a16:creationId xmlns:a16="http://schemas.microsoft.com/office/drawing/2014/main" id="{00000000-0008-0000-0C00-00001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694764</xdr:colOff>
      <xdr:row>93</xdr:row>
      <xdr:rowOff>134472</xdr:rowOff>
    </xdr:from>
    <xdr:to>
      <xdr:col>10</xdr:col>
      <xdr:colOff>750314</xdr:colOff>
      <xdr:row>107</xdr:row>
      <xdr:rowOff>124625</xdr:rowOff>
    </xdr:to>
    <xdr:sp macro="" textlink="">
      <xdr:nvSpPr>
        <xdr:cNvPr id="2" name="Rechteck 1">
          <a:extLst>
            <a:ext uri="{FF2B5EF4-FFF2-40B4-BE49-F238E27FC236}">
              <a16:creationId xmlns:a16="http://schemas.microsoft.com/office/drawing/2014/main" id="{00000000-0008-0000-0C00-000002000000}"/>
            </a:ext>
          </a:extLst>
        </xdr:cNvPr>
        <xdr:cNvSpPr/>
      </xdr:nvSpPr>
      <xdr:spPr bwMode="auto">
        <a:xfrm>
          <a:off x="8606117" y="14859001"/>
          <a:ext cx="873579" cy="287006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11</xdr:col>
      <xdr:colOff>925607</xdr:colOff>
      <xdr:row>19</xdr:row>
      <xdr:rowOff>2801</xdr:rowOff>
    </xdr:from>
    <xdr:to>
      <xdr:col>11</xdr:col>
      <xdr:colOff>2977607</xdr:colOff>
      <xdr:row>20</xdr:row>
      <xdr:rowOff>4208</xdr:rowOff>
    </xdr:to>
    <xdr:sp macro="" textlink="">
      <xdr:nvSpPr>
        <xdr:cNvPr id="5" name="Rechteck 4">
          <a:extLst>
            <a:ext uri="{FF2B5EF4-FFF2-40B4-BE49-F238E27FC236}">
              <a16:creationId xmlns:a16="http://schemas.microsoft.com/office/drawing/2014/main" id="{00000000-0008-0000-0C00-000005000000}"/>
            </a:ext>
          </a:extLst>
        </xdr:cNvPr>
        <xdr:cNvSpPr/>
      </xdr:nvSpPr>
      <xdr:spPr bwMode="auto">
        <a:xfrm>
          <a:off x="10688732" y="3250826"/>
          <a:ext cx="2052000" cy="182382"/>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909918</xdr:colOff>
      <xdr:row>11</xdr:row>
      <xdr:rowOff>100854</xdr:rowOff>
    </xdr:from>
    <xdr:to>
      <xdr:col>11</xdr:col>
      <xdr:colOff>2949389</xdr:colOff>
      <xdr:row>15</xdr:row>
      <xdr:rowOff>11207</xdr:rowOff>
    </xdr:to>
    <xdr:sp macro="" textlink="">
      <xdr:nvSpPr>
        <xdr:cNvPr id="6" name="Rechteck 5">
          <a:extLst>
            <a:ext uri="{FF2B5EF4-FFF2-40B4-BE49-F238E27FC236}">
              <a16:creationId xmlns:a16="http://schemas.microsoft.com/office/drawing/2014/main" id="{00000000-0008-0000-0C00-000006000000}"/>
            </a:ext>
          </a:extLst>
        </xdr:cNvPr>
        <xdr:cNvSpPr/>
      </xdr:nvSpPr>
      <xdr:spPr bwMode="auto">
        <a:xfrm>
          <a:off x="10434918" y="1961030"/>
          <a:ext cx="2039471" cy="582706"/>
        </a:xfrm>
        <a:prstGeom prst="rect">
          <a:avLst/>
        </a:prstGeom>
        <a:solidFill>
          <a:schemeClr val="bg1">
            <a:lumMod val="95000"/>
          </a:schemeClr>
        </a:solidFill>
        <a:ln>
          <a:noFill/>
        </a:ln>
        <a:effectLst/>
      </xdr:spPr>
      <xdr:txBody>
        <a:bodyPr vert="horz" wrap="square" lIns="72000" tIns="0" rIns="0" bIns="36000" numCol="1" rtlCol="0" anchor="ctr" anchorCtr="0" compatLnSpc="1">
          <a:prstTxWarp prst="textNoShape">
            <a:avLst/>
          </a:prstTxWarp>
          <a:noAutofit/>
        </a:bodyPr>
        <a:lstStyle/>
        <a:p>
          <a:pPr algn="l"/>
          <a:r>
            <a:rPr lang="de-DE" sz="1000" b="1" u="sng" dirty="0">
              <a:solidFill>
                <a:schemeClr val="tx1"/>
              </a:solidFill>
            </a:rPr>
            <a:t>Kommentarfeld</a:t>
          </a:r>
        </a:p>
        <a:p>
          <a:pPr algn="l"/>
          <a:r>
            <a:rPr lang="de-DE" sz="1000" dirty="0">
              <a:solidFill>
                <a:schemeClr val="tx1"/>
              </a:solidFill>
            </a:rPr>
            <a:t>Tragen</a:t>
          </a:r>
          <a:r>
            <a:rPr lang="de-DE" sz="1000" baseline="0" dirty="0">
              <a:solidFill>
                <a:schemeClr val="tx1"/>
              </a:solidFill>
            </a:rPr>
            <a:t> Sie z. B. die Zementsorte  oder den Ersatzstoff ein.</a:t>
          </a:r>
          <a:endParaRPr lang="de-DE" sz="1000" dirty="0">
            <a:solidFill>
              <a:schemeClr val="tx1"/>
            </a:solidFill>
          </a:endParaRPr>
        </a:p>
      </xdr:txBody>
    </xdr:sp>
    <xdr:clientData/>
  </xdr:twoCellAnchor>
  <xdr:twoCellAnchor>
    <xdr:from>
      <xdr:col>11</xdr:col>
      <xdr:colOff>925607</xdr:colOff>
      <xdr:row>24</xdr:row>
      <xdr:rowOff>163758</xdr:rowOff>
    </xdr:from>
    <xdr:to>
      <xdr:col>11</xdr:col>
      <xdr:colOff>2977607</xdr:colOff>
      <xdr:row>26</xdr:row>
      <xdr:rowOff>1194</xdr:rowOff>
    </xdr:to>
    <xdr:sp macro="" textlink="">
      <xdr:nvSpPr>
        <xdr:cNvPr id="13" name="Rechteck 12">
          <a:extLst>
            <a:ext uri="{FF2B5EF4-FFF2-40B4-BE49-F238E27FC236}">
              <a16:creationId xmlns:a16="http://schemas.microsoft.com/office/drawing/2014/main" id="{00000000-0008-0000-0C00-00000D000000}"/>
            </a:ext>
          </a:extLst>
        </xdr:cNvPr>
        <xdr:cNvSpPr/>
      </xdr:nvSpPr>
      <xdr:spPr bwMode="auto">
        <a:xfrm>
          <a:off x="10694447" y="4137588"/>
          <a:ext cx="2052000" cy="165096"/>
        </a:xfrm>
        <a:prstGeom prst="rect">
          <a:avLst/>
        </a:prstGeom>
        <a:solidFill>
          <a:schemeClr val="accent3">
            <a:lumMod val="20000"/>
            <a:lumOff val="80000"/>
          </a:schemeClr>
        </a:solidFill>
        <a:ln w="3175">
          <a:solidFill>
            <a:sysClr val="windowText" lastClr="000000"/>
          </a:solidFill>
        </a:ln>
        <a:effectLst/>
      </xdr:spPr>
      <xdr:txBody>
        <a:bodyPr vert="horz" wrap="square" lIns="91440" tIns="72000" rIns="91440" bIns="5400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925607</xdr:colOff>
      <xdr:row>26</xdr:row>
      <xdr:rowOff>769</xdr:rowOff>
    </xdr:from>
    <xdr:to>
      <xdr:col>11</xdr:col>
      <xdr:colOff>2977607</xdr:colOff>
      <xdr:row>27</xdr:row>
      <xdr:rowOff>2035</xdr:rowOff>
    </xdr:to>
    <xdr:sp macro="" textlink="">
      <xdr:nvSpPr>
        <xdr:cNvPr id="16" name="Rechteck 15">
          <a:extLst>
            <a:ext uri="{FF2B5EF4-FFF2-40B4-BE49-F238E27FC236}">
              <a16:creationId xmlns:a16="http://schemas.microsoft.com/office/drawing/2014/main" id="{00000000-0008-0000-0C00-000010000000}"/>
            </a:ext>
          </a:extLst>
        </xdr:cNvPr>
        <xdr:cNvSpPr/>
      </xdr:nvSpPr>
      <xdr:spPr bwMode="auto">
        <a:xfrm>
          <a:off x="10694685" y="4221535"/>
          <a:ext cx="2052000" cy="1620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949492</xdr:colOff>
      <xdr:row>27</xdr:row>
      <xdr:rowOff>146362</xdr:rowOff>
    </xdr:from>
    <xdr:to>
      <xdr:col>11</xdr:col>
      <xdr:colOff>3001492</xdr:colOff>
      <xdr:row>29</xdr:row>
      <xdr:rowOff>1126</xdr:rowOff>
    </xdr:to>
    <xdr:sp macro="" textlink="">
      <xdr:nvSpPr>
        <xdr:cNvPr id="17" name="Rechteck 16">
          <a:extLst>
            <a:ext uri="{FF2B5EF4-FFF2-40B4-BE49-F238E27FC236}">
              <a16:creationId xmlns:a16="http://schemas.microsoft.com/office/drawing/2014/main" id="{00000000-0008-0000-0C00-000011000000}"/>
            </a:ext>
          </a:extLst>
        </xdr:cNvPr>
        <xdr:cNvSpPr/>
      </xdr:nvSpPr>
      <xdr:spPr bwMode="auto">
        <a:xfrm>
          <a:off x="10716280" y="6506131"/>
          <a:ext cx="2052000" cy="22111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954182</xdr:colOff>
      <xdr:row>28</xdr:row>
      <xdr:rowOff>189939</xdr:rowOff>
    </xdr:from>
    <xdr:to>
      <xdr:col>11</xdr:col>
      <xdr:colOff>3006182</xdr:colOff>
      <xdr:row>30</xdr:row>
      <xdr:rowOff>1126</xdr:rowOff>
    </xdr:to>
    <xdr:sp macro="" textlink="">
      <xdr:nvSpPr>
        <xdr:cNvPr id="18" name="Rechteck 17">
          <a:extLst>
            <a:ext uri="{FF2B5EF4-FFF2-40B4-BE49-F238E27FC236}">
              <a16:creationId xmlns:a16="http://schemas.microsoft.com/office/drawing/2014/main" id="{00000000-0008-0000-0C00-000012000000}"/>
            </a:ext>
          </a:extLst>
        </xdr:cNvPr>
        <xdr:cNvSpPr/>
      </xdr:nvSpPr>
      <xdr:spPr bwMode="auto">
        <a:xfrm>
          <a:off x="10717307" y="6600264"/>
          <a:ext cx="2052000" cy="211237"/>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oneCellAnchor>
    <xdr:from>
      <xdr:col>11</xdr:col>
      <xdr:colOff>937932</xdr:colOff>
      <xdr:row>15</xdr:row>
      <xdr:rowOff>94691</xdr:rowOff>
    </xdr:from>
    <xdr:ext cx="5024718" cy="514909"/>
    <xdr:sp macro="" textlink="$D$149">
      <xdr:nvSpPr>
        <xdr:cNvPr id="19" name="Textfeld 18">
          <a:extLst>
            <a:ext uri="{FF2B5EF4-FFF2-40B4-BE49-F238E27FC236}">
              <a16:creationId xmlns:a16="http://schemas.microsoft.com/office/drawing/2014/main" id="{00000000-0008-0000-0C00-000013000000}"/>
            </a:ext>
          </a:extLst>
        </xdr:cNvPr>
        <xdr:cNvSpPr txBox="1"/>
      </xdr:nvSpPr>
      <xdr:spPr>
        <a:xfrm>
          <a:off x="10701057" y="4466666"/>
          <a:ext cx="5024718" cy="514909"/>
        </a:xfrm>
        <a:prstGeom prst="rect">
          <a:avLst/>
        </a:prstGeom>
        <a:noFill/>
        <a:ln>
          <a:noFill/>
        </a:ln>
      </xdr:spPr>
      <xdr:txBody>
        <a:bodyPr vertOverflow="clip" horzOverflow="clip" wrap="square" lIns="0" tIns="0" rIns="0" bIns="0" rtlCol="0" anchor="t">
          <a:noAutofit/>
        </a:bodyPr>
        <a:lstStyle/>
        <a:p>
          <a:pPr algn="l"/>
          <a:fld id="{60965AAD-8297-4335-86B5-63A1B014A349}" type="TxLink">
            <a:rPr lang="en-US" sz="1000" b="0" i="0" u="none" strike="noStrike" dirty="0" err="1" smtClean="0">
              <a:solidFill>
                <a:sysClr val="windowText" lastClr="000000"/>
              </a:solidFill>
              <a:latin typeface="Arial"/>
              <a:cs typeface="Arial"/>
            </a:rPr>
            <a:pPr algn="l"/>
            <a:t> </a:t>
          </a:fld>
          <a:endParaRPr lang="de-DE" sz="1100" dirty="0" err="1">
            <a:solidFill>
              <a:sysClr val="windowText" lastClr="000000"/>
            </a:solidFill>
          </a:endParaRPr>
        </a:p>
      </xdr:txBody>
    </xdr:sp>
    <xdr:clientData/>
  </xdr:oneCellAnchor>
  <xdr:oneCellAnchor>
    <xdr:from>
      <xdr:col>12</xdr:col>
      <xdr:colOff>187100</xdr:colOff>
      <xdr:row>19</xdr:row>
      <xdr:rowOff>156362</xdr:rowOff>
    </xdr:from>
    <xdr:ext cx="5084670" cy="477370"/>
    <xdr:sp macro="" textlink="$D$150">
      <xdr:nvSpPr>
        <xdr:cNvPr id="20" name="Textfeld 19">
          <a:extLst>
            <a:ext uri="{FF2B5EF4-FFF2-40B4-BE49-F238E27FC236}">
              <a16:creationId xmlns:a16="http://schemas.microsoft.com/office/drawing/2014/main" id="{00000000-0008-0000-0C00-000014000000}"/>
            </a:ext>
          </a:extLst>
        </xdr:cNvPr>
        <xdr:cNvSpPr txBox="1"/>
      </xdr:nvSpPr>
      <xdr:spPr>
        <a:xfrm>
          <a:off x="13251167" y="5075495"/>
          <a:ext cx="5084670" cy="477370"/>
        </a:xfrm>
        <a:prstGeom prst="rect">
          <a:avLst/>
        </a:prstGeom>
        <a:noFill/>
        <a:ln>
          <a:noFill/>
        </a:ln>
      </xdr:spPr>
      <xdr:txBody>
        <a:bodyPr vertOverflow="clip" horzOverflow="clip" wrap="square" lIns="0" tIns="0" rIns="0" bIns="0" rtlCol="0" anchor="t">
          <a:noAutofit/>
        </a:bodyPr>
        <a:lstStyle/>
        <a:p>
          <a:pPr algn="l"/>
          <a:fld id="{6247BF3D-C33F-4275-B2AA-F25D602509B0}" type="TxLink">
            <a:rPr lang="en-US" sz="1000" b="0" i="0" u="none" strike="noStrike" dirty="0" err="1" smtClean="0">
              <a:solidFill>
                <a:sysClr val="windowText" lastClr="000000"/>
              </a:solidFill>
              <a:latin typeface="Arial"/>
              <a:cs typeface="Arial"/>
            </a:rPr>
            <a:pPr algn="l"/>
            <a:t> </a:t>
          </a:fld>
          <a:endParaRPr lang="de-DE" sz="1100" dirty="0" err="1">
            <a:solidFill>
              <a:sysClr val="windowText" lastClr="000000"/>
            </a:solidFill>
          </a:endParaRPr>
        </a:p>
      </xdr:txBody>
    </xdr:sp>
    <xdr:clientData/>
  </xdr:oneCellAnchor>
</xdr:wsDr>
</file>

<file path=xl/drawings/drawing34.xml><?xml version="1.0" encoding="utf-8"?>
<c:userShapes xmlns:c="http://schemas.openxmlformats.org/drawingml/2006/chart">
  <cdr:relSizeAnchor xmlns:cdr="http://schemas.openxmlformats.org/drawingml/2006/chartDrawing">
    <cdr:from>
      <cdr:x>0.51422</cdr:x>
      <cdr:y>0.04219</cdr:y>
    </cdr:from>
    <cdr:to>
      <cdr:x>0.63321</cdr:x>
      <cdr:y>0.10743</cdr:y>
    </cdr:to>
    <cdr:sp macro="" textlink="'M7 Rezeptur, Einsatzmenge'!$N$93">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50829" y="155077"/>
          <a:ext cx="72909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24DBE1-C2FC-45F7-B862-3C85D559A0B9}" type="TxLink">
            <a:rPr lang="en-US" sz="1000" b="1" i="0" u="none" strike="noStrike" dirty="0" err="1">
              <a:solidFill>
                <a:srgbClr val="323232"/>
              </a:solidFill>
              <a:latin typeface="Arial"/>
              <a:cs typeface="Arial"/>
            </a:rPr>
            <a:pPr/>
            <a:t>10.672</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0.10743</cdr:y>
    </cdr:to>
    <cdr:sp macro="" textlink="'M7 Rezeptur, Einsatzmenge'!$O$93">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64783" y="155077"/>
          <a:ext cx="72909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10.322</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7 Rezeptur, Einsatzmenge'!$M$93">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F17E6A9-3FC5-4061-80BA-E3A96EA41E8F}"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5.xml><?xml version="1.0" encoding="utf-8"?>
<c:userShapes xmlns:c="http://schemas.openxmlformats.org/drawingml/2006/chart">
  <cdr:relSizeAnchor xmlns:cdr="http://schemas.openxmlformats.org/drawingml/2006/chartDrawing">
    <cdr:from>
      <cdr:x>0.24983</cdr:x>
      <cdr:y>0.03789</cdr:y>
    </cdr:from>
    <cdr:to>
      <cdr:x>0.38319</cdr:x>
      <cdr:y>0.09502</cdr:y>
    </cdr:to>
    <cdr:sp macro="" textlink="'M7 Rezeptur, Einsatzmenge'!$U$144">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74259" y="159045"/>
          <a:ext cx="89372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0.09502</cdr:y>
    </cdr:to>
    <cdr:sp macro="" textlink="'M7 Rezeptur, Einsatzmenge'!$V$144">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01058" y="159045"/>
          <a:ext cx="89379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652.890 €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0.09502</cdr:y>
    </cdr:to>
    <cdr:sp macro="" textlink="'M7 Rezeptur, Einsatzmenge'!$W$144">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10354" y="159045"/>
          <a:ext cx="89365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998.435 €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6.xml><?xml version="1.0" encoding="utf-8"?>
<c:userShapes xmlns:c="http://schemas.openxmlformats.org/drawingml/2006/chart">
  <cdr:relSizeAnchor xmlns:cdr="http://schemas.openxmlformats.org/drawingml/2006/chartDrawing">
    <cdr:from>
      <cdr:x>0.23302</cdr:x>
      <cdr:y>0</cdr:y>
    </cdr:from>
    <cdr:to>
      <cdr:x>0.32481</cdr:x>
      <cdr:y>1</cdr:y>
    </cdr:to>
    <cdr:sp macro="" textlink="'M7 Rezeptur, Einsatzmenge'!$E$13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07929" y="0"/>
          <a:ext cx="63338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393,1</a:t>
          </a:fld>
          <a:endParaRPr lang="en-GB" sz="1100" dirty="0" err="1">
            <a:solidFill>
              <a:schemeClr val="tx1"/>
            </a:solidFill>
          </a:endParaRPr>
        </a:p>
      </cdr:txBody>
    </cdr:sp>
  </cdr:relSizeAnchor>
  <cdr:relSizeAnchor xmlns:cdr="http://schemas.openxmlformats.org/drawingml/2006/chartDrawing">
    <cdr:from>
      <cdr:x>0.52095</cdr:x>
      <cdr:y>0</cdr:y>
    </cdr:from>
    <cdr:to>
      <cdr:x>0.61274</cdr:x>
      <cdr:y>1</cdr:y>
    </cdr:to>
    <cdr:sp macro="" textlink="'M7 Rezeptur, Einsatzmenge'!$F$136">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94759" y="0"/>
          <a:ext cx="63338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314,8</a:t>
          </a:fld>
          <a:endParaRPr lang="en-GB" sz="1100" dirty="0" err="1">
            <a:solidFill>
              <a:schemeClr val="tx1"/>
            </a:solidFill>
          </a:endParaRPr>
        </a:p>
      </cdr:txBody>
    </cdr:sp>
  </cdr:relSizeAnchor>
  <cdr:relSizeAnchor xmlns:cdr="http://schemas.openxmlformats.org/drawingml/2006/chartDrawing">
    <cdr:from>
      <cdr:x>0.80269</cdr:x>
      <cdr:y>0</cdr:y>
    </cdr:from>
    <cdr:to>
      <cdr:x>0.89447</cdr:x>
      <cdr:y>1</cdr:y>
    </cdr:to>
    <cdr:sp macro="" textlink="'M7 Rezeptur, Einsatzmenge'!$G$136">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538876" y="0"/>
          <a:ext cx="63331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209,2</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7.xml><?xml version="1.0" encoding="utf-8"?>
<c:userShapes xmlns:c="http://schemas.openxmlformats.org/drawingml/2006/chart">
  <cdr:relSizeAnchor xmlns:cdr="http://schemas.openxmlformats.org/drawingml/2006/chartDrawing">
    <cdr:from>
      <cdr:x>0.26001</cdr:x>
      <cdr:y>0</cdr:y>
    </cdr:from>
    <cdr:to>
      <cdr:x>0.35189</cdr:x>
      <cdr:y>0.05289</cdr:y>
    </cdr:to>
    <cdr:sp macro="" textlink="'M7 Rezeptur, Einsatzmenge'!$M$141">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709023" y="0"/>
          <a:ext cx="60391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0.05289</cdr:y>
    </cdr:to>
    <cdr:sp macro="" textlink="'M7 Rezeptur, Einsatzmenge'!$N$141">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3586" y="0"/>
          <a:ext cx="60398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10.357</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0.05289</cdr:y>
    </cdr:to>
    <cdr:sp macro="" textlink="'M7 Rezeptur, Einsatzmenge'!$O$141">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84160" y="0"/>
          <a:ext cx="60398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10.113</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8.xml><?xml version="1.0" encoding="utf-8"?>
<xdr:wsDr xmlns:xdr="http://schemas.openxmlformats.org/drawingml/2006/spreadsheetDrawing" xmlns:a="http://schemas.openxmlformats.org/drawingml/2006/main">
  <xdr:twoCellAnchor>
    <xdr:from>
      <xdr:col>10</xdr:col>
      <xdr:colOff>799740</xdr:colOff>
      <xdr:row>54</xdr:row>
      <xdr:rowOff>33094</xdr:rowOff>
    </xdr:from>
    <xdr:to>
      <xdr:col>15</xdr:col>
      <xdr:colOff>778217</xdr:colOff>
      <xdr:row>77</xdr:row>
      <xdr:rowOff>57523</xdr:rowOff>
    </xdr:to>
    <xdr:graphicFrame macro="">
      <xdr:nvGraphicFramePr>
        <xdr:cNvPr id="2" name="Diagramm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523875</xdr:colOff>
          <xdr:row>95</xdr:row>
          <xdr:rowOff>28575</xdr:rowOff>
        </xdr:from>
        <xdr:to>
          <xdr:col>10</xdr:col>
          <xdr:colOff>704850</xdr:colOff>
          <xdr:row>95</xdr:row>
          <xdr:rowOff>190500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D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96</xdr:row>
          <xdr:rowOff>28575</xdr:rowOff>
        </xdr:from>
        <xdr:to>
          <xdr:col>10</xdr:col>
          <xdr:colOff>704850</xdr:colOff>
          <xdr:row>96</xdr:row>
          <xdr:rowOff>190500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D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97</xdr:row>
          <xdr:rowOff>28575</xdr:rowOff>
        </xdr:from>
        <xdr:to>
          <xdr:col>10</xdr:col>
          <xdr:colOff>704850</xdr:colOff>
          <xdr:row>97</xdr:row>
          <xdr:rowOff>180975</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D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98</xdr:row>
          <xdr:rowOff>19050</xdr:rowOff>
        </xdr:from>
        <xdr:to>
          <xdr:col>10</xdr:col>
          <xdr:colOff>704850</xdr:colOff>
          <xdr:row>98</xdr:row>
          <xdr:rowOff>190500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D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99</xdr:row>
          <xdr:rowOff>19050</xdr:rowOff>
        </xdr:from>
        <xdr:to>
          <xdr:col>10</xdr:col>
          <xdr:colOff>704850</xdr:colOff>
          <xdr:row>99</xdr:row>
          <xdr:rowOff>180975</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D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100</xdr:row>
          <xdr:rowOff>0</xdr:rowOff>
        </xdr:from>
        <xdr:to>
          <xdr:col>10</xdr:col>
          <xdr:colOff>704850</xdr:colOff>
          <xdr:row>100</xdr:row>
          <xdr:rowOff>180975</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D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101</xdr:row>
          <xdr:rowOff>9525</xdr:rowOff>
        </xdr:from>
        <xdr:to>
          <xdr:col>10</xdr:col>
          <xdr:colOff>704850</xdr:colOff>
          <xdr:row>101</xdr:row>
          <xdr:rowOff>190500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D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50</xdr:row>
      <xdr:rowOff>117663</xdr:rowOff>
    </xdr:from>
    <xdr:to>
      <xdr:col>25</xdr:col>
      <xdr:colOff>445249</xdr:colOff>
      <xdr:row>77</xdr:row>
      <xdr:rowOff>28948</xdr:rowOff>
    </xdr:to>
    <xdr:graphicFrame macro="">
      <xdr:nvGraphicFramePr>
        <xdr:cNvPr id="3" name="Diagram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97</xdr:row>
          <xdr:rowOff>0</xdr:rowOff>
        </xdr:from>
        <xdr:to>
          <xdr:col>18</xdr:col>
          <xdr:colOff>676275</xdr:colOff>
          <xdr:row>97</xdr:row>
          <xdr:rowOff>180975</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D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98</xdr:row>
          <xdr:rowOff>19050</xdr:rowOff>
        </xdr:from>
        <xdr:to>
          <xdr:col>19</xdr:col>
          <xdr:colOff>0</xdr:colOff>
          <xdr:row>98</xdr:row>
          <xdr:rowOff>200025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D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99</xdr:row>
          <xdr:rowOff>19050</xdr:rowOff>
        </xdr:from>
        <xdr:to>
          <xdr:col>19</xdr:col>
          <xdr:colOff>0</xdr:colOff>
          <xdr:row>99</xdr:row>
          <xdr:rowOff>200025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D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100</xdr:row>
          <xdr:rowOff>9525</xdr:rowOff>
        </xdr:from>
        <xdr:to>
          <xdr:col>19</xdr:col>
          <xdr:colOff>0</xdr:colOff>
          <xdr:row>100</xdr:row>
          <xdr:rowOff>190500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D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95</xdr:row>
          <xdr:rowOff>9525</xdr:rowOff>
        </xdr:from>
        <xdr:to>
          <xdr:col>18</xdr:col>
          <xdr:colOff>676275</xdr:colOff>
          <xdr:row>96</xdr:row>
          <xdr:rowOff>9525</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D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94</xdr:row>
          <xdr:rowOff>0</xdr:rowOff>
        </xdr:from>
        <xdr:to>
          <xdr:col>18</xdr:col>
          <xdr:colOff>676275</xdr:colOff>
          <xdr:row>94</xdr:row>
          <xdr:rowOff>180975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D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96</xdr:row>
          <xdr:rowOff>9525</xdr:rowOff>
        </xdr:from>
        <xdr:to>
          <xdr:col>18</xdr:col>
          <xdr:colOff>676275</xdr:colOff>
          <xdr:row>97</xdr:row>
          <xdr:rowOff>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D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85</xdr:row>
          <xdr:rowOff>152400</xdr:rowOff>
        </xdr:from>
        <xdr:to>
          <xdr:col>2</xdr:col>
          <xdr:colOff>723900</xdr:colOff>
          <xdr:row>87</xdr:row>
          <xdr:rowOff>9525</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D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86</xdr:row>
          <xdr:rowOff>190500</xdr:rowOff>
        </xdr:from>
        <xdr:to>
          <xdr:col>2</xdr:col>
          <xdr:colOff>723900</xdr:colOff>
          <xdr:row>88</xdr:row>
          <xdr:rowOff>9525</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D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87</xdr:row>
          <xdr:rowOff>190500</xdr:rowOff>
        </xdr:from>
        <xdr:to>
          <xdr:col>2</xdr:col>
          <xdr:colOff>723900</xdr:colOff>
          <xdr:row>89</xdr:row>
          <xdr:rowOff>9525</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D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88</xdr:row>
          <xdr:rowOff>190500</xdr:rowOff>
        </xdr:from>
        <xdr:to>
          <xdr:col>2</xdr:col>
          <xdr:colOff>723900</xdr:colOff>
          <xdr:row>90</xdr:row>
          <xdr:rowOff>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D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89</xdr:row>
          <xdr:rowOff>190500</xdr:rowOff>
        </xdr:from>
        <xdr:to>
          <xdr:col>2</xdr:col>
          <xdr:colOff>723900</xdr:colOff>
          <xdr:row>90</xdr:row>
          <xdr:rowOff>200025</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D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90</xdr:row>
          <xdr:rowOff>180975</xdr:rowOff>
        </xdr:from>
        <xdr:to>
          <xdr:col>2</xdr:col>
          <xdr:colOff>723900</xdr:colOff>
          <xdr:row>91</xdr:row>
          <xdr:rowOff>190500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D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91</xdr:row>
          <xdr:rowOff>171450</xdr:rowOff>
        </xdr:from>
        <xdr:to>
          <xdr:col>2</xdr:col>
          <xdr:colOff>723900</xdr:colOff>
          <xdr:row>93</xdr:row>
          <xdr:rowOff>0</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0D00-00001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93</xdr:row>
          <xdr:rowOff>190500</xdr:rowOff>
        </xdr:from>
        <xdr:to>
          <xdr:col>2</xdr:col>
          <xdr:colOff>723900</xdr:colOff>
          <xdr:row>95</xdr:row>
          <xdr:rowOff>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D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94</xdr:row>
          <xdr:rowOff>180975</xdr:rowOff>
        </xdr:from>
        <xdr:to>
          <xdr:col>2</xdr:col>
          <xdr:colOff>723900</xdr:colOff>
          <xdr:row>96</xdr:row>
          <xdr:rowOff>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D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95</xdr:row>
          <xdr:rowOff>180975</xdr:rowOff>
        </xdr:from>
        <xdr:to>
          <xdr:col>2</xdr:col>
          <xdr:colOff>723900</xdr:colOff>
          <xdr:row>97</xdr:row>
          <xdr:rowOff>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D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96</xdr:row>
          <xdr:rowOff>180975</xdr:rowOff>
        </xdr:from>
        <xdr:to>
          <xdr:col>2</xdr:col>
          <xdr:colOff>723900</xdr:colOff>
          <xdr:row>98</xdr:row>
          <xdr:rowOff>9525</xdr:rowOff>
        </xdr:to>
        <xdr:sp macro="" textlink="">
          <xdr:nvSpPr>
            <xdr:cNvPr id="82969" name="Check Box 25" hidden="1">
              <a:extLst>
                <a:ext uri="{63B3BB69-23CF-44E3-9099-C40C66FF867C}">
                  <a14:compatExt spid="_x0000_s82969"/>
                </a:ext>
                <a:ext uri="{FF2B5EF4-FFF2-40B4-BE49-F238E27FC236}">
                  <a16:creationId xmlns:a16="http://schemas.microsoft.com/office/drawing/2014/main" id="{00000000-0008-0000-0D00-00001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415636</xdr:colOff>
      <xdr:row>44</xdr:row>
      <xdr:rowOff>121226</xdr:rowOff>
    </xdr:from>
    <xdr:to>
      <xdr:col>9</xdr:col>
      <xdr:colOff>523636</xdr:colOff>
      <xdr:row>119</xdr:row>
      <xdr:rowOff>88499</xdr:rowOff>
    </xdr:to>
    <xdr:sp macro="" textlink="">
      <xdr:nvSpPr>
        <xdr:cNvPr id="4" name="Rechteck 3">
          <a:extLst>
            <a:ext uri="{FF2B5EF4-FFF2-40B4-BE49-F238E27FC236}">
              <a16:creationId xmlns:a16="http://schemas.microsoft.com/office/drawing/2014/main" id="{00000000-0008-0000-0D00-000004000000}"/>
            </a:ext>
          </a:extLst>
        </xdr:cNvPr>
        <xdr:cNvSpPr/>
      </xdr:nvSpPr>
      <xdr:spPr bwMode="auto">
        <a:xfrm>
          <a:off x="8483311" y="7960301"/>
          <a:ext cx="108000" cy="13283223"/>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44</xdr:row>
      <xdr:rowOff>117762</xdr:rowOff>
    </xdr:from>
    <xdr:to>
      <xdr:col>17</xdr:col>
      <xdr:colOff>295035</xdr:colOff>
      <xdr:row>119</xdr:row>
      <xdr:rowOff>85035</xdr:rowOff>
    </xdr:to>
    <xdr:sp macro="" textlink="">
      <xdr:nvSpPr>
        <xdr:cNvPr id="5" name="Rechteck 4">
          <a:extLst>
            <a:ext uri="{FF2B5EF4-FFF2-40B4-BE49-F238E27FC236}">
              <a16:creationId xmlns:a16="http://schemas.microsoft.com/office/drawing/2014/main" id="{00000000-0008-0000-0D00-000005000000}"/>
            </a:ext>
          </a:extLst>
        </xdr:cNvPr>
        <xdr:cNvSpPr/>
      </xdr:nvSpPr>
      <xdr:spPr bwMode="auto">
        <a:xfrm>
          <a:off x="16808160" y="7956837"/>
          <a:ext cx="108000" cy="13283223"/>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32</xdr:row>
      <xdr:rowOff>142875</xdr:rowOff>
    </xdr:from>
    <xdr:to>
      <xdr:col>11</xdr:col>
      <xdr:colOff>3061800</xdr:colOff>
      <xdr:row>32</xdr:row>
      <xdr:rowOff>142875</xdr:rowOff>
    </xdr:to>
    <xdr:cxnSp macro="">
      <xdr:nvCxnSpPr>
        <xdr:cNvPr id="6" name="Gerader Verbinder 5">
          <a:extLst>
            <a:ext uri="{FF2B5EF4-FFF2-40B4-BE49-F238E27FC236}">
              <a16:creationId xmlns:a16="http://schemas.microsoft.com/office/drawing/2014/main" id="{00000000-0008-0000-0D00-000006000000}"/>
            </a:ext>
          </a:extLst>
        </xdr:cNvPr>
        <xdr:cNvCxnSpPr/>
      </xdr:nvCxnSpPr>
      <xdr:spPr bwMode="auto">
        <a:xfrm>
          <a:off x="1228725" y="5667375"/>
          <a:ext cx="11520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695325</xdr:colOff>
      <xdr:row>27</xdr:row>
      <xdr:rowOff>133353</xdr:rowOff>
    </xdr:from>
    <xdr:to>
      <xdr:col>11</xdr:col>
      <xdr:colOff>3061800</xdr:colOff>
      <xdr:row>27</xdr:row>
      <xdr:rowOff>133353</xdr:rowOff>
    </xdr:to>
    <xdr:cxnSp macro="">
      <xdr:nvCxnSpPr>
        <xdr:cNvPr id="9" name="Gerader Verbinder 8">
          <a:extLst>
            <a:ext uri="{FF2B5EF4-FFF2-40B4-BE49-F238E27FC236}">
              <a16:creationId xmlns:a16="http://schemas.microsoft.com/office/drawing/2014/main" id="{00000000-0008-0000-0D00-000009000000}"/>
            </a:ext>
          </a:extLst>
        </xdr:cNvPr>
        <xdr:cNvCxnSpPr/>
      </xdr:nvCxnSpPr>
      <xdr:spPr bwMode="auto">
        <a:xfrm>
          <a:off x="1228725" y="4791078"/>
          <a:ext cx="11520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620247</xdr:colOff>
      <xdr:row>121</xdr:row>
      <xdr:rowOff>126068</xdr:rowOff>
    </xdr:from>
    <xdr:to>
      <xdr:col>8</xdr:col>
      <xdr:colOff>601381</xdr:colOff>
      <xdr:row>143</xdr:row>
      <xdr:rowOff>21106</xdr:rowOff>
    </xdr:to>
    <xdr:graphicFrame macro="">
      <xdr:nvGraphicFramePr>
        <xdr:cNvPr id="10" name="Diagramm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529479</xdr:colOff>
      <xdr:row>51</xdr:row>
      <xdr:rowOff>152400</xdr:rowOff>
    </xdr:from>
    <xdr:to>
      <xdr:col>8</xdr:col>
      <xdr:colOff>180890</xdr:colOff>
      <xdr:row>80</xdr:row>
      <xdr:rowOff>82597</xdr:rowOff>
    </xdr:to>
    <xdr:graphicFrame macro="">
      <xdr:nvGraphicFramePr>
        <xdr:cNvPr id="11" name="Diagramm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514350</xdr:colOff>
          <xdr:row>92</xdr:row>
          <xdr:rowOff>180975</xdr:rowOff>
        </xdr:from>
        <xdr:to>
          <xdr:col>2</xdr:col>
          <xdr:colOff>723900</xdr:colOff>
          <xdr:row>94</xdr:row>
          <xdr:rowOff>9525</xdr:rowOff>
        </xdr:to>
        <xdr:sp macro="" textlink="">
          <xdr:nvSpPr>
            <xdr:cNvPr id="82970" name="Check Box 26" hidden="1">
              <a:extLst>
                <a:ext uri="{63B3BB69-23CF-44E3-9099-C40C66FF867C}">
                  <a14:compatExt spid="_x0000_s82970"/>
                </a:ext>
                <a:ext uri="{FF2B5EF4-FFF2-40B4-BE49-F238E27FC236}">
                  <a16:creationId xmlns:a16="http://schemas.microsoft.com/office/drawing/2014/main" id="{00000000-0008-0000-0D00-00001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694764</xdr:colOff>
      <xdr:row>90</xdr:row>
      <xdr:rowOff>134472</xdr:rowOff>
    </xdr:from>
    <xdr:to>
      <xdr:col>10</xdr:col>
      <xdr:colOff>750314</xdr:colOff>
      <xdr:row>104</xdr:row>
      <xdr:rowOff>124625</xdr:rowOff>
    </xdr:to>
    <xdr:sp macro="" textlink="">
      <xdr:nvSpPr>
        <xdr:cNvPr id="12" name="Rechteck 11">
          <a:extLst>
            <a:ext uri="{FF2B5EF4-FFF2-40B4-BE49-F238E27FC236}">
              <a16:creationId xmlns:a16="http://schemas.microsoft.com/office/drawing/2014/main" id="{00000000-0008-0000-0D00-00000C000000}"/>
            </a:ext>
          </a:extLst>
        </xdr:cNvPr>
        <xdr:cNvSpPr/>
      </xdr:nvSpPr>
      <xdr:spPr bwMode="auto">
        <a:xfrm>
          <a:off x="8762439" y="15764997"/>
          <a:ext cx="874700" cy="2838128"/>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11</xdr:col>
      <xdr:colOff>909918</xdr:colOff>
      <xdr:row>11</xdr:row>
      <xdr:rowOff>100854</xdr:rowOff>
    </xdr:from>
    <xdr:to>
      <xdr:col>11</xdr:col>
      <xdr:colOff>2949389</xdr:colOff>
      <xdr:row>15</xdr:row>
      <xdr:rowOff>11207</xdr:rowOff>
    </xdr:to>
    <xdr:sp macro="" textlink="">
      <xdr:nvSpPr>
        <xdr:cNvPr id="14" name="Rechteck 13">
          <a:extLst>
            <a:ext uri="{FF2B5EF4-FFF2-40B4-BE49-F238E27FC236}">
              <a16:creationId xmlns:a16="http://schemas.microsoft.com/office/drawing/2014/main" id="{00000000-0008-0000-0D00-00000E000000}"/>
            </a:ext>
          </a:extLst>
        </xdr:cNvPr>
        <xdr:cNvSpPr/>
      </xdr:nvSpPr>
      <xdr:spPr bwMode="auto">
        <a:xfrm>
          <a:off x="10596843" y="2015379"/>
          <a:ext cx="2039471" cy="596153"/>
        </a:xfrm>
        <a:prstGeom prst="rect">
          <a:avLst/>
        </a:prstGeom>
        <a:solidFill>
          <a:schemeClr val="bg1">
            <a:lumMod val="95000"/>
          </a:schemeClr>
        </a:solidFill>
        <a:ln>
          <a:noFill/>
        </a:ln>
        <a:effectLst/>
      </xdr:spPr>
      <xdr:txBody>
        <a:bodyPr vert="horz" wrap="square" lIns="72000" tIns="0" rIns="0" bIns="36000" numCol="1" rtlCol="0" anchor="ctr" anchorCtr="0" compatLnSpc="1">
          <a:prstTxWarp prst="textNoShape">
            <a:avLst/>
          </a:prstTxWarp>
          <a:noAutofit/>
        </a:bodyPr>
        <a:lstStyle/>
        <a:p>
          <a:pPr algn="l"/>
          <a:r>
            <a:rPr lang="de-DE" sz="1000" b="1" u="sng" dirty="0">
              <a:solidFill>
                <a:schemeClr val="tx1"/>
              </a:solidFill>
            </a:rPr>
            <a:t>Kommentarfeld</a:t>
          </a:r>
        </a:p>
        <a:p>
          <a:pPr algn="l"/>
          <a:r>
            <a:rPr lang="de-DE" sz="1000" dirty="0">
              <a:solidFill>
                <a:schemeClr val="tx1"/>
              </a:solidFill>
            </a:rPr>
            <a:t>Tragen</a:t>
          </a:r>
          <a:r>
            <a:rPr lang="de-DE" sz="1000" baseline="0" dirty="0">
              <a:solidFill>
                <a:schemeClr val="tx1"/>
              </a:solidFill>
            </a:rPr>
            <a:t> Sie z. B. die Zementsorte  oder den Ersatzstoff ein.</a:t>
          </a:r>
          <a:endParaRPr lang="de-DE" sz="1000" dirty="0">
            <a:solidFill>
              <a:schemeClr val="tx1"/>
            </a:solidFill>
          </a:endParaRPr>
        </a:p>
      </xdr:txBody>
    </xdr:sp>
    <xdr:clientData/>
  </xdr:twoCellAnchor>
  <xdr:twoCellAnchor>
    <xdr:from>
      <xdr:col>11</xdr:col>
      <xdr:colOff>887507</xdr:colOff>
      <xdr:row>21</xdr:row>
      <xdr:rowOff>179614</xdr:rowOff>
    </xdr:from>
    <xdr:to>
      <xdr:col>11</xdr:col>
      <xdr:colOff>2939507</xdr:colOff>
      <xdr:row>23</xdr:row>
      <xdr:rowOff>4906</xdr:rowOff>
    </xdr:to>
    <xdr:sp macro="" textlink="">
      <xdr:nvSpPr>
        <xdr:cNvPr id="15" name="Rechteck 14">
          <a:extLst>
            <a:ext uri="{FF2B5EF4-FFF2-40B4-BE49-F238E27FC236}">
              <a16:creationId xmlns:a16="http://schemas.microsoft.com/office/drawing/2014/main" id="{00000000-0008-0000-0D00-00000F000000}"/>
            </a:ext>
          </a:extLst>
        </xdr:cNvPr>
        <xdr:cNvSpPr/>
      </xdr:nvSpPr>
      <xdr:spPr bwMode="auto">
        <a:xfrm>
          <a:off x="10581236" y="4936671"/>
          <a:ext cx="2052000" cy="168192"/>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887507</xdr:colOff>
      <xdr:row>23</xdr:row>
      <xdr:rowOff>6722</xdr:rowOff>
    </xdr:from>
    <xdr:to>
      <xdr:col>11</xdr:col>
      <xdr:colOff>2939507</xdr:colOff>
      <xdr:row>24</xdr:row>
      <xdr:rowOff>25988</xdr:rowOff>
    </xdr:to>
    <xdr:sp macro="" textlink="">
      <xdr:nvSpPr>
        <xdr:cNvPr id="16" name="Rechteck 15">
          <a:extLst>
            <a:ext uri="{FF2B5EF4-FFF2-40B4-BE49-F238E27FC236}">
              <a16:creationId xmlns:a16="http://schemas.microsoft.com/office/drawing/2014/main" id="{00000000-0008-0000-0D00-000010000000}"/>
            </a:ext>
          </a:extLst>
        </xdr:cNvPr>
        <xdr:cNvSpPr/>
      </xdr:nvSpPr>
      <xdr:spPr bwMode="auto">
        <a:xfrm>
          <a:off x="10574432" y="4264397"/>
          <a:ext cx="2052000" cy="181191"/>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887507</xdr:colOff>
      <xdr:row>25</xdr:row>
      <xdr:rowOff>11345</xdr:rowOff>
    </xdr:from>
    <xdr:to>
      <xdr:col>11</xdr:col>
      <xdr:colOff>2939507</xdr:colOff>
      <xdr:row>25</xdr:row>
      <xdr:rowOff>191345</xdr:rowOff>
    </xdr:to>
    <xdr:sp macro="" textlink="">
      <xdr:nvSpPr>
        <xdr:cNvPr id="17" name="Rechteck 16">
          <a:extLst>
            <a:ext uri="{FF2B5EF4-FFF2-40B4-BE49-F238E27FC236}">
              <a16:creationId xmlns:a16="http://schemas.microsoft.com/office/drawing/2014/main" id="{00000000-0008-0000-0D00-000011000000}"/>
            </a:ext>
          </a:extLst>
        </xdr:cNvPr>
        <xdr:cNvSpPr/>
      </xdr:nvSpPr>
      <xdr:spPr bwMode="auto">
        <a:xfrm>
          <a:off x="10574432" y="4592870"/>
          <a:ext cx="2052000" cy="1800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887507</xdr:colOff>
      <xdr:row>25</xdr:row>
      <xdr:rowOff>187558</xdr:rowOff>
    </xdr:from>
    <xdr:to>
      <xdr:col>11</xdr:col>
      <xdr:colOff>2939507</xdr:colOff>
      <xdr:row>26</xdr:row>
      <xdr:rowOff>165151</xdr:rowOff>
    </xdr:to>
    <xdr:sp macro="" textlink="">
      <xdr:nvSpPr>
        <xdr:cNvPr id="18" name="Rechteck 17">
          <a:extLst>
            <a:ext uri="{FF2B5EF4-FFF2-40B4-BE49-F238E27FC236}">
              <a16:creationId xmlns:a16="http://schemas.microsoft.com/office/drawing/2014/main" id="{00000000-0008-0000-0D00-000012000000}"/>
            </a:ext>
          </a:extLst>
        </xdr:cNvPr>
        <xdr:cNvSpPr/>
      </xdr:nvSpPr>
      <xdr:spPr bwMode="auto">
        <a:xfrm>
          <a:off x="10574432" y="4769083"/>
          <a:ext cx="2052000" cy="177618"/>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887507</xdr:colOff>
      <xdr:row>16</xdr:row>
      <xdr:rowOff>0</xdr:rowOff>
    </xdr:from>
    <xdr:to>
      <xdr:col>11</xdr:col>
      <xdr:colOff>2939507</xdr:colOff>
      <xdr:row>17</xdr:row>
      <xdr:rowOff>17735</xdr:rowOff>
    </xdr:to>
    <xdr:sp macro="" textlink="">
      <xdr:nvSpPr>
        <xdr:cNvPr id="19" name="Rechteck 18">
          <a:extLst>
            <a:ext uri="{FF2B5EF4-FFF2-40B4-BE49-F238E27FC236}">
              <a16:creationId xmlns:a16="http://schemas.microsoft.com/office/drawing/2014/main" id="{00000000-0008-0000-0D00-000013000000}"/>
            </a:ext>
          </a:extLst>
        </xdr:cNvPr>
        <xdr:cNvSpPr/>
      </xdr:nvSpPr>
      <xdr:spPr bwMode="auto">
        <a:xfrm>
          <a:off x="10581236" y="3924300"/>
          <a:ext cx="2052000" cy="181021"/>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887507</xdr:colOff>
      <xdr:row>17</xdr:row>
      <xdr:rowOff>0</xdr:rowOff>
    </xdr:from>
    <xdr:to>
      <xdr:col>11</xdr:col>
      <xdr:colOff>2939507</xdr:colOff>
      <xdr:row>18</xdr:row>
      <xdr:rowOff>17736</xdr:rowOff>
    </xdr:to>
    <xdr:sp macro="" textlink="">
      <xdr:nvSpPr>
        <xdr:cNvPr id="20" name="Rechteck 19">
          <a:extLst>
            <a:ext uri="{FF2B5EF4-FFF2-40B4-BE49-F238E27FC236}">
              <a16:creationId xmlns:a16="http://schemas.microsoft.com/office/drawing/2014/main" id="{00000000-0008-0000-0D00-000014000000}"/>
            </a:ext>
          </a:extLst>
        </xdr:cNvPr>
        <xdr:cNvSpPr/>
      </xdr:nvSpPr>
      <xdr:spPr bwMode="auto">
        <a:xfrm>
          <a:off x="10581236" y="4087586"/>
          <a:ext cx="2052000" cy="181021"/>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887507</xdr:colOff>
      <xdr:row>17</xdr:row>
      <xdr:rowOff>163285</xdr:rowOff>
    </xdr:from>
    <xdr:to>
      <xdr:col>11</xdr:col>
      <xdr:colOff>2939507</xdr:colOff>
      <xdr:row>19</xdr:row>
      <xdr:rowOff>17735</xdr:rowOff>
    </xdr:to>
    <xdr:sp macro="" textlink="">
      <xdr:nvSpPr>
        <xdr:cNvPr id="21" name="Rechteck 20">
          <a:extLst>
            <a:ext uri="{FF2B5EF4-FFF2-40B4-BE49-F238E27FC236}">
              <a16:creationId xmlns:a16="http://schemas.microsoft.com/office/drawing/2014/main" id="{00000000-0008-0000-0D00-000015000000}"/>
            </a:ext>
          </a:extLst>
        </xdr:cNvPr>
        <xdr:cNvSpPr/>
      </xdr:nvSpPr>
      <xdr:spPr bwMode="auto">
        <a:xfrm>
          <a:off x="10581236" y="4250871"/>
          <a:ext cx="2052000" cy="181021"/>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887507</xdr:colOff>
      <xdr:row>19</xdr:row>
      <xdr:rowOff>0</xdr:rowOff>
    </xdr:from>
    <xdr:to>
      <xdr:col>11</xdr:col>
      <xdr:colOff>2939507</xdr:colOff>
      <xdr:row>20</xdr:row>
      <xdr:rowOff>1407</xdr:rowOff>
    </xdr:to>
    <xdr:sp macro="" textlink="">
      <xdr:nvSpPr>
        <xdr:cNvPr id="22" name="Rechteck 21">
          <a:extLst>
            <a:ext uri="{FF2B5EF4-FFF2-40B4-BE49-F238E27FC236}">
              <a16:creationId xmlns:a16="http://schemas.microsoft.com/office/drawing/2014/main" id="{00000000-0008-0000-0D00-000016000000}"/>
            </a:ext>
          </a:extLst>
        </xdr:cNvPr>
        <xdr:cNvSpPr/>
      </xdr:nvSpPr>
      <xdr:spPr bwMode="auto">
        <a:xfrm>
          <a:off x="10581236" y="4414157"/>
          <a:ext cx="2052000" cy="181021"/>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oneCellAnchor>
    <xdr:from>
      <xdr:col>11</xdr:col>
      <xdr:colOff>3152776</xdr:colOff>
      <xdr:row>15</xdr:row>
      <xdr:rowOff>152400</xdr:rowOff>
    </xdr:from>
    <xdr:ext cx="2924174" cy="657225"/>
    <xdr:sp macro="" textlink="$D$148">
      <xdr:nvSpPr>
        <xdr:cNvPr id="23" name="Textfeld 22">
          <a:extLst>
            <a:ext uri="{FF2B5EF4-FFF2-40B4-BE49-F238E27FC236}">
              <a16:creationId xmlns:a16="http://schemas.microsoft.com/office/drawing/2014/main" id="{00000000-0008-0000-0D00-000017000000}"/>
            </a:ext>
          </a:extLst>
        </xdr:cNvPr>
        <xdr:cNvSpPr txBox="1"/>
      </xdr:nvSpPr>
      <xdr:spPr>
        <a:xfrm>
          <a:off x="12839701" y="4505325"/>
          <a:ext cx="2924174" cy="657225"/>
        </a:xfrm>
        <a:prstGeom prst="rect">
          <a:avLst/>
        </a:prstGeom>
        <a:noFill/>
        <a:ln>
          <a:noFill/>
        </a:ln>
      </xdr:spPr>
      <xdr:txBody>
        <a:bodyPr vertOverflow="clip" horzOverflow="clip" wrap="square" lIns="0" tIns="0" rIns="0" bIns="0" rtlCol="0" anchor="t">
          <a:noAutofit/>
        </a:bodyPr>
        <a:lstStyle/>
        <a:p>
          <a:pPr algn="l"/>
          <a:fld id="{60965AAD-8297-4335-86B5-63A1B014A349}" type="TxLink">
            <a:rPr lang="en-US" sz="1000" b="0" i="0" u="none" strike="noStrike" dirty="0" err="1" smtClean="0">
              <a:solidFill>
                <a:sysClr val="windowText" lastClr="000000"/>
              </a:solidFill>
              <a:latin typeface="Arial"/>
              <a:cs typeface="Arial"/>
            </a:rPr>
            <a:pPr algn="l"/>
            <a:t> </a:t>
          </a:fld>
          <a:endParaRPr lang="de-DE" sz="1100" dirty="0" err="1">
            <a:solidFill>
              <a:sysClr val="windowText" lastClr="000000"/>
            </a:solidFill>
          </a:endParaRPr>
        </a:p>
      </xdr:txBody>
    </xdr:sp>
    <xdr:clientData/>
  </xdr:oneCellAnchor>
</xdr:wsDr>
</file>

<file path=xl/drawings/drawing39.xml><?xml version="1.0" encoding="utf-8"?>
<c:userShapes xmlns:c="http://schemas.openxmlformats.org/drawingml/2006/chart">
  <cdr:relSizeAnchor xmlns:cdr="http://schemas.openxmlformats.org/drawingml/2006/chartDrawing">
    <cdr:from>
      <cdr:x>0.51422</cdr:x>
      <cdr:y>0.04219</cdr:y>
    </cdr:from>
    <cdr:to>
      <cdr:x>0.63321</cdr:x>
      <cdr:y>0.10743</cdr:y>
    </cdr:to>
    <cdr:sp macro="" textlink="'M8 Rezeptur, geringerer EF'!$N$90">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50829" y="155077"/>
          <a:ext cx="72909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AA5FC02-26A2-45C1-BCC6-5997432A0758}" type="TxLink">
            <a:rPr lang="en-US" sz="1000" b="1" i="0" u="none" strike="noStrike" dirty="0" err="1">
              <a:solidFill>
                <a:srgbClr val="323232"/>
              </a:solidFill>
              <a:latin typeface="Arial"/>
              <a:cs typeface="Arial"/>
            </a:rPr>
            <a:pPr/>
            <a:t>10.440</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0.1082</cdr:y>
    </cdr:to>
    <cdr:sp macro="" textlink="'M8 Rezeptur, geringerer EF'!$O$90">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40564"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9.935</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8 Rezeptur, geringerer EF'!$M$90">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9A9F1AB-A697-4228-8BF7-68008D3A7B0A}"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0.xml><?xml version="1.0" encoding="utf-8"?>
<c:userShapes xmlns:c="http://schemas.openxmlformats.org/drawingml/2006/chart">
  <cdr:relSizeAnchor xmlns:cdr="http://schemas.openxmlformats.org/drawingml/2006/chartDrawing">
    <cdr:from>
      <cdr:x>0.24983</cdr:x>
      <cdr:y>0.03789</cdr:y>
    </cdr:from>
    <cdr:to>
      <cdr:x>0.38319</cdr:x>
      <cdr:y>0.09572</cdr:y>
    </cdr:to>
    <cdr:sp macro="" textlink="'M8 Rezeptur, geringerer EF'!$U$141">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9593" y="157134"/>
          <a:ext cx="89123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0.09572</cdr:y>
    </cdr:to>
    <cdr:sp macro="" textlink="'M8 Rezeptur, geringerer EF'!$V$141">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1580" y="157134"/>
          <a:ext cx="89130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642.457 €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0.09572</cdr:y>
    </cdr:to>
    <cdr:sp macro="" textlink="'M8 Rezeptur, geringerer EF'!$W$141">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5834" y="157134"/>
          <a:ext cx="89116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967.431 €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1.xml><?xml version="1.0" encoding="utf-8"?>
<c:userShapes xmlns:c="http://schemas.openxmlformats.org/drawingml/2006/chart">
  <cdr:relSizeAnchor xmlns:cdr="http://schemas.openxmlformats.org/drawingml/2006/chartDrawing">
    <cdr:from>
      <cdr:x>0.23302</cdr:x>
      <cdr:y>0</cdr:y>
    </cdr:from>
    <cdr:to>
      <cdr:x>0.32481</cdr:x>
      <cdr:y>1</cdr:y>
    </cdr:to>
    <cdr:sp macro="" textlink="'M8 Rezeptur, geringerer EF'!$E$133">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03519" y="0"/>
          <a:ext cx="63165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393,1</a:t>
          </a:fld>
          <a:endParaRPr lang="en-GB" sz="1100" dirty="0" err="1">
            <a:solidFill>
              <a:schemeClr val="tx1"/>
            </a:solidFill>
          </a:endParaRPr>
        </a:p>
      </cdr:txBody>
    </cdr:sp>
  </cdr:relSizeAnchor>
  <cdr:relSizeAnchor xmlns:cdr="http://schemas.openxmlformats.org/drawingml/2006/chartDrawing">
    <cdr:from>
      <cdr:x>0.52095</cdr:x>
      <cdr:y>0</cdr:y>
    </cdr:from>
    <cdr:to>
      <cdr:x>0.61274</cdr:x>
      <cdr:y>1</cdr:y>
    </cdr:to>
    <cdr:sp macro="" textlink="'M8 Rezeptur, geringerer EF'!$F$133">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84900" y="0"/>
          <a:ext cx="63165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314,8</a:t>
          </a:fld>
          <a:endParaRPr lang="en-GB" sz="1100" dirty="0" err="1">
            <a:solidFill>
              <a:schemeClr val="tx1"/>
            </a:solidFill>
          </a:endParaRPr>
        </a:p>
      </cdr:txBody>
    </cdr:sp>
  </cdr:relSizeAnchor>
  <cdr:relSizeAnchor xmlns:cdr="http://schemas.openxmlformats.org/drawingml/2006/chartDrawing">
    <cdr:from>
      <cdr:x>0.80269</cdr:x>
      <cdr:y>0</cdr:y>
    </cdr:from>
    <cdr:to>
      <cdr:x>0.89447</cdr:x>
      <cdr:y>1</cdr:y>
    </cdr:to>
    <cdr:sp macro="" textlink="'M8 Rezeptur, geringerer EF'!$G$133">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523685" y="0"/>
          <a:ext cx="63158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209,2</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2.xml><?xml version="1.0" encoding="utf-8"?>
<c:userShapes xmlns:c="http://schemas.openxmlformats.org/drawingml/2006/chart">
  <cdr:relSizeAnchor xmlns:cdr="http://schemas.openxmlformats.org/drawingml/2006/chartDrawing">
    <cdr:from>
      <cdr:x>0.26001</cdr:x>
      <cdr:y>0</cdr:y>
    </cdr:from>
    <cdr:to>
      <cdr:x>0.35189</cdr:x>
      <cdr:y>0.05347</cdr:y>
    </cdr:to>
    <cdr:sp macro="" textlink="'M8 Rezeptur, geringerer EF'!$M$138">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1347" y="0"/>
          <a:ext cx="59767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0.05347</cdr:y>
    </cdr:to>
    <cdr:sp macro="" textlink="'M8 Rezeptur, geringerer EF'!$N$138">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37660" y="0"/>
          <a:ext cx="59773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10.125</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0.05347</cdr:y>
    </cdr:to>
    <cdr:sp macro="" textlink="'M8 Rezeptur, geringerer EF'!$O$138">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29508" y="0"/>
          <a:ext cx="59773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9.725</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3.xml><?xml version="1.0" encoding="utf-8"?>
<xdr:wsDr xmlns:xdr="http://schemas.openxmlformats.org/drawingml/2006/spreadsheetDrawing" xmlns:a="http://schemas.openxmlformats.org/drawingml/2006/main">
  <xdr:twoCellAnchor>
    <xdr:from>
      <xdr:col>10</xdr:col>
      <xdr:colOff>799740</xdr:colOff>
      <xdr:row>56</xdr:row>
      <xdr:rowOff>33094</xdr:rowOff>
    </xdr:from>
    <xdr:to>
      <xdr:col>15</xdr:col>
      <xdr:colOff>778217</xdr:colOff>
      <xdr:row>79</xdr:row>
      <xdr:rowOff>57523</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523875</xdr:colOff>
          <xdr:row>97</xdr:row>
          <xdr:rowOff>28575</xdr:rowOff>
        </xdr:from>
        <xdr:to>
          <xdr:col>10</xdr:col>
          <xdr:colOff>704850</xdr:colOff>
          <xdr:row>97</xdr:row>
          <xdr:rowOff>190500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E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98</xdr:row>
          <xdr:rowOff>28575</xdr:rowOff>
        </xdr:from>
        <xdr:to>
          <xdr:col>10</xdr:col>
          <xdr:colOff>704850</xdr:colOff>
          <xdr:row>98</xdr:row>
          <xdr:rowOff>190500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E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99</xdr:row>
          <xdr:rowOff>28575</xdr:rowOff>
        </xdr:from>
        <xdr:to>
          <xdr:col>10</xdr:col>
          <xdr:colOff>704850</xdr:colOff>
          <xdr:row>99</xdr:row>
          <xdr:rowOff>180975</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E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100</xdr:row>
          <xdr:rowOff>19050</xdr:rowOff>
        </xdr:from>
        <xdr:to>
          <xdr:col>10</xdr:col>
          <xdr:colOff>704850</xdr:colOff>
          <xdr:row>100</xdr:row>
          <xdr:rowOff>190500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E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101</xdr:row>
          <xdr:rowOff>19050</xdr:rowOff>
        </xdr:from>
        <xdr:to>
          <xdr:col>10</xdr:col>
          <xdr:colOff>704850</xdr:colOff>
          <xdr:row>101</xdr:row>
          <xdr:rowOff>180975</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E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102</xdr:row>
          <xdr:rowOff>0</xdr:rowOff>
        </xdr:from>
        <xdr:to>
          <xdr:col>10</xdr:col>
          <xdr:colOff>704850</xdr:colOff>
          <xdr:row>102</xdr:row>
          <xdr:rowOff>180975</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E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103</xdr:row>
          <xdr:rowOff>9525</xdr:rowOff>
        </xdr:from>
        <xdr:to>
          <xdr:col>10</xdr:col>
          <xdr:colOff>704850</xdr:colOff>
          <xdr:row>103</xdr:row>
          <xdr:rowOff>190500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E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52</xdr:row>
      <xdr:rowOff>117663</xdr:rowOff>
    </xdr:from>
    <xdr:to>
      <xdr:col>25</xdr:col>
      <xdr:colOff>445249</xdr:colOff>
      <xdr:row>79</xdr:row>
      <xdr:rowOff>28948</xdr:rowOff>
    </xdr:to>
    <xdr:graphicFrame macro="">
      <xdr:nvGraphicFramePr>
        <xdr:cNvPr id="3" name="Diagram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99</xdr:row>
          <xdr:rowOff>0</xdr:rowOff>
        </xdr:from>
        <xdr:to>
          <xdr:col>18</xdr:col>
          <xdr:colOff>676275</xdr:colOff>
          <xdr:row>99</xdr:row>
          <xdr:rowOff>180975</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E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100</xdr:row>
          <xdr:rowOff>19050</xdr:rowOff>
        </xdr:from>
        <xdr:to>
          <xdr:col>19</xdr:col>
          <xdr:colOff>0</xdr:colOff>
          <xdr:row>101</xdr:row>
          <xdr:rowOff>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E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101</xdr:row>
          <xdr:rowOff>19050</xdr:rowOff>
        </xdr:from>
        <xdr:to>
          <xdr:col>19</xdr:col>
          <xdr:colOff>0</xdr:colOff>
          <xdr:row>101</xdr:row>
          <xdr:rowOff>200025</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E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102</xdr:row>
          <xdr:rowOff>9525</xdr:rowOff>
        </xdr:from>
        <xdr:to>
          <xdr:col>19</xdr:col>
          <xdr:colOff>0</xdr:colOff>
          <xdr:row>102</xdr:row>
          <xdr:rowOff>190500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E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97</xdr:row>
          <xdr:rowOff>9525</xdr:rowOff>
        </xdr:from>
        <xdr:to>
          <xdr:col>18</xdr:col>
          <xdr:colOff>676275</xdr:colOff>
          <xdr:row>98</xdr:row>
          <xdr:rowOff>9525</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0E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96</xdr:row>
          <xdr:rowOff>0</xdr:rowOff>
        </xdr:from>
        <xdr:to>
          <xdr:col>18</xdr:col>
          <xdr:colOff>676275</xdr:colOff>
          <xdr:row>96</xdr:row>
          <xdr:rowOff>180975</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0E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98</xdr:row>
          <xdr:rowOff>9525</xdr:rowOff>
        </xdr:from>
        <xdr:to>
          <xdr:col>18</xdr:col>
          <xdr:colOff>676275</xdr:colOff>
          <xdr:row>99</xdr:row>
          <xdr:rowOff>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0E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87</xdr:row>
          <xdr:rowOff>152400</xdr:rowOff>
        </xdr:from>
        <xdr:to>
          <xdr:col>2</xdr:col>
          <xdr:colOff>723900</xdr:colOff>
          <xdr:row>89</xdr:row>
          <xdr:rowOff>9525</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0E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88</xdr:row>
          <xdr:rowOff>190500</xdr:rowOff>
        </xdr:from>
        <xdr:to>
          <xdr:col>2</xdr:col>
          <xdr:colOff>723900</xdr:colOff>
          <xdr:row>90</xdr:row>
          <xdr:rowOff>9525</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0E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89</xdr:row>
          <xdr:rowOff>190500</xdr:rowOff>
        </xdr:from>
        <xdr:to>
          <xdr:col>2</xdr:col>
          <xdr:colOff>723900</xdr:colOff>
          <xdr:row>91</xdr:row>
          <xdr:rowOff>9525</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E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90</xdr:row>
          <xdr:rowOff>190500</xdr:rowOff>
        </xdr:from>
        <xdr:to>
          <xdr:col>2</xdr:col>
          <xdr:colOff>723900</xdr:colOff>
          <xdr:row>92</xdr:row>
          <xdr:rowOff>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E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91</xdr:row>
          <xdr:rowOff>190500</xdr:rowOff>
        </xdr:from>
        <xdr:to>
          <xdr:col>2</xdr:col>
          <xdr:colOff>723900</xdr:colOff>
          <xdr:row>92</xdr:row>
          <xdr:rowOff>200025</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E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92</xdr:row>
          <xdr:rowOff>180975</xdr:rowOff>
        </xdr:from>
        <xdr:to>
          <xdr:col>2</xdr:col>
          <xdr:colOff>723900</xdr:colOff>
          <xdr:row>93</xdr:row>
          <xdr:rowOff>190500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E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93</xdr:row>
          <xdr:rowOff>171450</xdr:rowOff>
        </xdr:from>
        <xdr:to>
          <xdr:col>2</xdr:col>
          <xdr:colOff>723900</xdr:colOff>
          <xdr:row>95</xdr:row>
          <xdr:rowOff>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E00-00001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95</xdr:row>
          <xdr:rowOff>190500</xdr:rowOff>
        </xdr:from>
        <xdr:to>
          <xdr:col>2</xdr:col>
          <xdr:colOff>723900</xdr:colOff>
          <xdr:row>97</xdr:row>
          <xdr:rowOff>0</xdr:rowOff>
        </xdr:to>
        <xdr:sp macro="" textlink="">
          <xdr:nvSpPr>
            <xdr:cNvPr id="83990" name="Check Box 22" hidden="1">
              <a:extLst>
                <a:ext uri="{63B3BB69-23CF-44E3-9099-C40C66FF867C}">
                  <a14:compatExt spid="_x0000_s83990"/>
                </a:ext>
                <a:ext uri="{FF2B5EF4-FFF2-40B4-BE49-F238E27FC236}">
                  <a16:creationId xmlns:a16="http://schemas.microsoft.com/office/drawing/2014/main" id="{00000000-0008-0000-0E00-00001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96</xdr:row>
          <xdr:rowOff>180975</xdr:rowOff>
        </xdr:from>
        <xdr:to>
          <xdr:col>2</xdr:col>
          <xdr:colOff>723900</xdr:colOff>
          <xdr:row>98</xdr:row>
          <xdr:rowOff>0</xdr:rowOff>
        </xdr:to>
        <xdr:sp macro="" textlink="">
          <xdr:nvSpPr>
            <xdr:cNvPr id="83991" name="Check Box 23" hidden="1">
              <a:extLst>
                <a:ext uri="{63B3BB69-23CF-44E3-9099-C40C66FF867C}">
                  <a14:compatExt spid="_x0000_s83991"/>
                </a:ext>
                <a:ext uri="{FF2B5EF4-FFF2-40B4-BE49-F238E27FC236}">
                  <a16:creationId xmlns:a16="http://schemas.microsoft.com/office/drawing/2014/main" id="{00000000-0008-0000-0E00-00001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97</xdr:row>
          <xdr:rowOff>180975</xdr:rowOff>
        </xdr:from>
        <xdr:to>
          <xdr:col>2</xdr:col>
          <xdr:colOff>723900</xdr:colOff>
          <xdr:row>99</xdr:row>
          <xdr:rowOff>0</xdr:rowOff>
        </xdr:to>
        <xdr:sp macro="" textlink="">
          <xdr:nvSpPr>
            <xdr:cNvPr id="83992" name="Check Box 24" hidden="1">
              <a:extLst>
                <a:ext uri="{63B3BB69-23CF-44E3-9099-C40C66FF867C}">
                  <a14:compatExt spid="_x0000_s83992"/>
                </a:ext>
                <a:ext uri="{FF2B5EF4-FFF2-40B4-BE49-F238E27FC236}">
                  <a16:creationId xmlns:a16="http://schemas.microsoft.com/office/drawing/2014/main" id="{00000000-0008-0000-0E00-00001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98</xdr:row>
          <xdr:rowOff>180975</xdr:rowOff>
        </xdr:from>
        <xdr:to>
          <xdr:col>2</xdr:col>
          <xdr:colOff>723900</xdr:colOff>
          <xdr:row>100</xdr:row>
          <xdr:rowOff>9525</xdr:rowOff>
        </xdr:to>
        <xdr:sp macro="" textlink="">
          <xdr:nvSpPr>
            <xdr:cNvPr id="83993" name="Check Box 25" hidden="1">
              <a:extLst>
                <a:ext uri="{63B3BB69-23CF-44E3-9099-C40C66FF867C}">
                  <a14:compatExt spid="_x0000_s83993"/>
                </a:ext>
                <a:ext uri="{FF2B5EF4-FFF2-40B4-BE49-F238E27FC236}">
                  <a16:creationId xmlns:a16="http://schemas.microsoft.com/office/drawing/2014/main" id="{00000000-0008-0000-0E00-00001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415636</xdr:colOff>
      <xdr:row>46</xdr:row>
      <xdr:rowOff>121226</xdr:rowOff>
    </xdr:from>
    <xdr:to>
      <xdr:col>9</xdr:col>
      <xdr:colOff>523636</xdr:colOff>
      <xdr:row>121</xdr:row>
      <xdr:rowOff>88499</xdr:rowOff>
    </xdr:to>
    <xdr:sp macro="" textlink="">
      <xdr:nvSpPr>
        <xdr:cNvPr id="4" name="Rechteck 3">
          <a:extLst>
            <a:ext uri="{FF2B5EF4-FFF2-40B4-BE49-F238E27FC236}">
              <a16:creationId xmlns:a16="http://schemas.microsoft.com/office/drawing/2014/main" id="{00000000-0008-0000-0E00-000004000000}"/>
            </a:ext>
          </a:extLst>
        </xdr:cNvPr>
        <xdr:cNvSpPr/>
      </xdr:nvSpPr>
      <xdr:spPr bwMode="auto">
        <a:xfrm>
          <a:off x="8483311" y="7636451"/>
          <a:ext cx="108000" cy="13283223"/>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46</xdr:row>
      <xdr:rowOff>117762</xdr:rowOff>
    </xdr:from>
    <xdr:to>
      <xdr:col>17</xdr:col>
      <xdr:colOff>295035</xdr:colOff>
      <xdr:row>121</xdr:row>
      <xdr:rowOff>85035</xdr:rowOff>
    </xdr:to>
    <xdr:sp macro="" textlink="">
      <xdr:nvSpPr>
        <xdr:cNvPr id="5" name="Rechteck 4">
          <a:extLst>
            <a:ext uri="{FF2B5EF4-FFF2-40B4-BE49-F238E27FC236}">
              <a16:creationId xmlns:a16="http://schemas.microsoft.com/office/drawing/2014/main" id="{00000000-0008-0000-0E00-000005000000}"/>
            </a:ext>
          </a:extLst>
        </xdr:cNvPr>
        <xdr:cNvSpPr/>
      </xdr:nvSpPr>
      <xdr:spPr bwMode="auto">
        <a:xfrm>
          <a:off x="16808160" y="7632987"/>
          <a:ext cx="108000" cy="13283223"/>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33</xdr:row>
      <xdr:rowOff>142875</xdr:rowOff>
    </xdr:from>
    <xdr:to>
      <xdr:col>11</xdr:col>
      <xdr:colOff>3061800</xdr:colOff>
      <xdr:row>33</xdr:row>
      <xdr:rowOff>142875</xdr:rowOff>
    </xdr:to>
    <xdr:cxnSp macro="">
      <xdr:nvCxnSpPr>
        <xdr:cNvPr id="6" name="Gerader Verbinder 5">
          <a:extLst>
            <a:ext uri="{FF2B5EF4-FFF2-40B4-BE49-F238E27FC236}">
              <a16:creationId xmlns:a16="http://schemas.microsoft.com/office/drawing/2014/main" id="{00000000-0008-0000-0E00-000006000000}"/>
            </a:ext>
          </a:extLst>
        </xdr:cNvPr>
        <xdr:cNvCxnSpPr/>
      </xdr:nvCxnSpPr>
      <xdr:spPr bwMode="auto">
        <a:xfrm>
          <a:off x="1228725" y="5667375"/>
          <a:ext cx="11520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695325</xdr:colOff>
      <xdr:row>28</xdr:row>
      <xdr:rowOff>133353</xdr:rowOff>
    </xdr:from>
    <xdr:to>
      <xdr:col>11</xdr:col>
      <xdr:colOff>3061800</xdr:colOff>
      <xdr:row>28</xdr:row>
      <xdr:rowOff>133353</xdr:rowOff>
    </xdr:to>
    <xdr:cxnSp macro="">
      <xdr:nvCxnSpPr>
        <xdr:cNvPr id="9" name="Gerader Verbinder 8">
          <a:extLst>
            <a:ext uri="{FF2B5EF4-FFF2-40B4-BE49-F238E27FC236}">
              <a16:creationId xmlns:a16="http://schemas.microsoft.com/office/drawing/2014/main" id="{00000000-0008-0000-0E00-000009000000}"/>
            </a:ext>
          </a:extLst>
        </xdr:cNvPr>
        <xdr:cNvCxnSpPr/>
      </xdr:nvCxnSpPr>
      <xdr:spPr bwMode="auto">
        <a:xfrm>
          <a:off x="1228725" y="4791078"/>
          <a:ext cx="11520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705972</xdr:colOff>
      <xdr:row>124</xdr:row>
      <xdr:rowOff>78443</xdr:rowOff>
    </xdr:from>
    <xdr:to>
      <xdr:col>9</xdr:col>
      <xdr:colOff>1306</xdr:colOff>
      <xdr:row>145</xdr:row>
      <xdr:rowOff>135406</xdr:rowOff>
    </xdr:to>
    <xdr:graphicFrame macro="">
      <xdr:nvGraphicFramePr>
        <xdr:cNvPr id="10" name="Diagramm 9">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529479</xdr:colOff>
      <xdr:row>53</xdr:row>
      <xdr:rowOff>152400</xdr:rowOff>
    </xdr:from>
    <xdr:to>
      <xdr:col>8</xdr:col>
      <xdr:colOff>180890</xdr:colOff>
      <xdr:row>82</xdr:row>
      <xdr:rowOff>82597</xdr:rowOff>
    </xdr:to>
    <xdr:graphicFrame macro="">
      <xdr:nvGraphicFramePr>
        <xdr:cNvPr id="11" name="Diagramm 10">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514350</xdr:colOff>
          <xdr:row>94</xdr:row>
          <xdr:rowOff>180975</xdr:rowOff>
        </xdr:from>
        <xdr:to>
          <xdr:col>2</xdr:col>
          <xdr:colOff>723900</xdr:colOff>
          <xdr:row>96</xdr:row>
          <xdr:rowOff>9525</xdr:rowOff>
        </xdr:to>
        <xdr:sp macro="" textlink="">
          <xdr:nvSpPr>
            <xdr:cNvPr id="83994" name="Check Box 26" hidden="1">
              <a:extLst>
                <a:ext uri="{63B3BB69-23CF-44E3-9099-C40C66FF867C}">
                  <a14:compatExt spid="_x0000_s83994"/>
                </a:ext>
                <a:ext uri="{FF2B5EF4-FFF2-40B4-BE49-F238E27FC236}">
                  <a16:creationId xmlns:a16="http://schemas.microsoft.com/office/drawing/2014/main" id="{00000000-0008-0000-0E00-00001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694764</xdr:colOff>
      <xdr:row>92</xdr:row>
      <xdr:rowOff>134472</xdr:rowOff>
    </xdr:from>
    <xdr:to>
      <xdr:col>10</xdr:col>
      <xdr:colOff>750314</xdr:colOff>
      <xdr:row>106</xdr:row>
      <xdr:rowOff>124625</xdr:rowOff>
    </xdr:to>
    <xdr:sp macro="" textlink="">
      <xdr:nvSpPr>
        <xdr:cNvPr id="12" name="Rechteck 11">
          <a:extLst>
            <a:ext uri="{FF2B5EF4-FFF2-40B4-BE49-F238E27FC236}">
              <a16:creationId xmlns:a16="http://schemas.microsoft.com/office/drawing/2014/main" id="{00000000-0008-0000-0E00-00000C000000}"/>
            </a:ext>
          </a:extLst>
        </xdr:cNvPr>
        <xdr:cNvSpPr/>
      </xdr:nvSpPr>
      <xdr:spPr bwMode="auto">
        <a:xfrm>
          <a:off x="8762439" y="15441147"/>
          <a:ext cx="874700" cy="2838128"/>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11</xdr:col>
      <xdr:colOff>909918</xdr:colOff>
      <xdr:row>11</xdr:row>
      <xdr:rowOff>100854</xdr:rowOff>
    </xdr:from>
    <xdr:to>
      <xdr:col>11</xdr:col>
      <xdr:colOff>2949389</xdr:colOff>
      <xdr:row>15</xdr:row>
      <xdr:rowOff>11207</xdr:rowOff>
    </xdr:to>
    <xdr:sp macro="" textlink="">
      <xdr:nvSpPr>
        <xdr:cNvPr id="14" name="Rechteck 13">
          <a:extLst>
            <a:ext uri="{FF2B5EF4-FFF2-40B4-BE49-F238E27FC236}">
              <a16:creationId xmlns:a16="http://schemas.microsoft.com/office/drawing/2014/main" id="{00000000-0008-0000-0E00-00000E000000}"/>
            </a:ext>
          </a:extLst>
        </xdr:cNvPr>
        <xdr:cNvSpPr/>
      </xdr:nvSpPr>
      <xdr:spPr bwMode="auto">
        <a:xfrm>
          <a:off x="10596843" y="2015379"/>
          <a:ext cx="2039471" cy="596153"/>
        </a:xfrm>
        <a:prstGeom prst="rect">
          <a:avLst/>
        </a:prstGeom>
        <a:solidFill>
          <a:schemeClr val="bg1">
            <a:lumMod val="95000"/>
          </a:schemeClr>
        </a:solidFill>
        <a:ln>
          <a:noFill/>
        </a:ln>
        <a:effectLst/>
      </xdr:spPr>
      <xdr:txBody>
        <a:bodyPr vert="horz" wrap="square" lIns="72000" tIns="0" rIns="0" bIns="36000" numCol="1" rtlCol="0" anchor="ctr" anchorCtr="0" compatLnSpc="1">
          <a:prstTxWarp prst="textNoShape">
            <a:avLst/>
          </a:prstTxWarp>
          <a:noAutofit/>
        </a:bodyPr>
        <a:lstStyle/>
        <a:p>
          <a:pPr algn="l"/>
          <a:r>
            <a:rPr lang="de-DE" sz="1000" b="1" u="sng" dirty="0">
              <a:solidFill>
                <a:schemeClr val="tx1"/>
              </a:solidFill>
            </a:rPr>
            <a:t>Kommentarfeld</a:t>
          </a:r>
        </a:p>
        <a:p>
          <a:pPr algn="l"/>
          <a:r>
            <a:rPr lang="de-DE" sz="1000" dirty="0">
              <a:solidFill>
                <a:schemeClr val="tx1"/>
              </a:solidFill>
            </a:rPr>
            <a:t>Tragen</a:t>
          </a:r>
          <a:r>
            <a:rPr lang="de-DE" sz="1000" baseline="0" dirty="0">
              <a:solidFill>
                <a:schemeClr val="tx1"/>
              </a:solidFill>
            </a:rPr>
            <a:t> Sie z. B. die Zementsorte  oder den Ersatzstoff ein.</a:t>
          </a:r>
          <a:endParaRPr lang="de-DE" sz="1000" dirty="0">
            <a:solidFill>
              <a:schemeClr val="tx1"/>
            </a:solidFill>
          </a:endParaRPr>
        </a:p>
      </xdr:txBody>
    </xdr:sp>
    <xdr:clientData/>
  </xdr:twoCellAnchor>
  <xdr:twoCellAnchor>
    <xdr:from>
      <xdr:col>11</xdr:col>
      <xdr:colOff>944657</xdr:colOff>
      <xdr:row>21</xdr:row>
      <xdr:rowOff>0</xdr:rowOff>
    </xdr:from>
    <xdr:to>
      <xdr:col>11</xdr:col>
      <xdr:colOff>2996657</xdr:colOff>
      <xdr:row>22</xdr:row>
      <xdr:rowOff>4906</xdr:rowOff>
    </xdr:to>
    <xdr:sp macro="" textlink="">
      <xdr:nvSpPr>
        <xdr:cNvPr id="15" name="Rechteck 14">
          <a:extLst>
            <a:ext uri="{FF2B5EF4-FFF2-40B4-BE49-F238E27FC236}">
              <a16:creationId xmlns:a16="http://schemas.microsoft.com/office/drawing/2014/main" id="{00000000-0008-0000-0E00-00000F000000}"/>
            </a:ext>
          </a:extLst>
        </xdr:cNvPr>
        <xdr:cNvSpPr/>
      </xdr:nvSpPr>
      <xdr:spPr bwMode="auto">
        <a:xfrm>
          <a:off x="10631582" y="5067300"/>
          <a:ext cx="2052000" cy="166831"/>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22</xdr:row>
      <xdr:rowOff>6722</xdr:rowOff>
    </xdr:from>
    <xdr:to>
      <xdr:col>11</xdr:col>
      <xdr:colOff>2996657</xdr:colOff>
      <xdr:row>23</xdr:row>
      <xdr:rowOff>10397</xdr:rowOff>
    </xdr:to>
    <xdr:sp macro="" textlink="">
      <xdr:nvSpPr>
        <xdr:cNvPr id="16" name="Rechteck 15">
          <a:extLst>
            <a:ext uri="{FF2B5EF4-FFF2-40B4-BE49-F238E27FC236}">
              <a16:creationId xmlns:a16="http://schemas.microsoft.com/office/drawing/2014/main" id="{00000000-0008-0000-0E00-000010000000}"/>
            </a:ext>
          </a:extLst>
        </xdr:cNvPr>
        <xdr:cNvSpPr/>
      </xdr:nvSpPr>
      <xdr:spPr bwMode="auto">
        <a:xfrm>
          <a:off x="10669682" y="5559797"/>
          <a:ext cx="2052000" cy="1656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24</xdr:row>
      <xdr:rowOff>160029</xdr:rowOff>
    </xdr:from>
    <xdr:to>
      <xdr:col>11</xdr:col>
      <xdr:colOff>2996657</xdr:colOff>
      <xdr:row>25</xdr:row>
      <xdr:rowOff>195407</xdr:rowOff>
    </xdr:to>
    <xdr:sp macro="" textlink="">
      <xdr:nvSpPr>
        <xdr:cNvPr id="17" name="Rechteck 16">
          <a:extLst>
            <a:ext uri="{FF2B5EF4-FFF2-40B4-BE49-F238E27FC236}">
              <a16:creationId xmlns:a16="http://schemas.microsoft.com/office/drawing/2014/main" id="{00000000-0008-0000-0E00-000011000000}"/>
            </a:ext>
          </a:extLst>
        </xdr:cNvPr>
        <xdr:cNvSpPr/>
      </xdr:nvSpPr>
      <xdr:spPr bwMode="auto">
        <a:xfrm>
          <a:off x="10632279" y="5563724"/>
          <a:ext cx="2052000" cy="1980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26</xdr:row>
      <xdr:rowOff>1703</xdr:rowOff>
    </xdr:from>
    <xdr:to>
      <xdr:col>11</xdr:col>
      <xdr:colOff>2996657</xdr:colOff>
      <xdr:row>26</xdr:row>
      <xdr:rowOff>199703</xdr:rowOff>
    </xdr:to>
    <xdr:sp macro="" textlink="">
      <xdr:nvSpPr>
        <xdr:cNvPr id="18" name="Rechteck 17">
          <a:extLst>
            <a:ext uri="{FF2B5EF4-FFF2-40B4-BE49-F238E27FC236}">
              <a16:creationId xmlns:a16="http://schemas.microsoft.com/office/drawing/2014/main" id="{00000000-0008-0000-0E00-000012000000}"/>
            </a:ext>
          </a:extLst>
        </xdr:cNvPr>
        <xdr:cNvSpPr/>
      </xdr:nvSpPr>
      <xdr:spPr bwMode="auto">
        <a:xfrm>
          <a:off x="10632279" y="5767813"/>
          <a:ext cx="2052000" cy="1980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15</xdr:row>
      <xdr:rowOff>161192</xdr:rowOff>
    </xdr:from>
    <xdr:to>
      <xdr:col>11</xdr:col>
      <xdr:colOff>2996657</xdr:colOff>
      <xdr:row>17</xdr:row>
      <xdr:rowOff>23387</xdr:rowOff>
    </xdr:to>
    <xdr:sp macro="" textlink="">
      <xdr:nvSpPr>
        <xdr:cNvPr id="19" name="Rechteck 18">
          <a:extLst>
            <a:ext uri="{FF2B5EF4-FFF2-40B4-BE49-F238E27FC236}">
              <a16:creationId xmlns:a16="http://schemas.microsoft.com/office/drawing/2014/main" id="{00000000-0008-0000-0E00-000013000000}"/>
            </a:ext>
          </a:extLst>
        </xdr:cNvPr>
        <xdr:cNvSpPr/>
      </xdr:nvSpPr>
      <xdr:spPr bwMode="auto">
        <a:xfrm>
          <a:off x="10631582" y="4056917"/>
          <a:ext cx="2052000" cy="186045"/>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17</xdr:row>
      <xdr:rowOff>0</xdr:rowOff>
    </xdr:from>
    <xdr:to>
      <xdr:col>11</xdr:col>
      <xdr:colOff>2996657</xdr:colOff>
      <xdr:row>18</xdr:row>
      <xdr:rowOff>23388</xdr:rowOff>
    </xdr:to>
    <xdr:sp macro="" textlink="">
      <xdr:nvSpPr>
        <xdr:cNvPr id="21" name="Rechteck 20">
          <a:extLst>
            <a:ext uri="{FF2B5EF4-FFF2-40B4-BE49-F238E27FC236}">
              <a16:creationId xmlns:a16="http://schemas.microsoft.com/office/drawing/2014/main" id="{00000000-0008-0000-0E00-000015000000}"/>
            </a:ext>
          </a:extLst>
        </xdr:cNvPr>
        <xdr:cNvSpPr/>
      </xdr:nvSpPr>
      <xdr:spPr bwMode="auto">
        <a:xfrm>
          <a:off x="10631582" y="4219575"/>
          <a:ext cx="2052000" cy="185313"/>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18</xdr:row>
      <xdr:rowOff>0</xdr:rowOff>
    </xdr:from>
    <xdr:to>
      <xdr:col>11</xdr:col>
      <xdr:colOff>2996657</xdr:colOff>
      <xdr:row>19</xdr:row>
      <xdr:rowOff>0</xdr:rowOff>
    </xdr:to>
    <xdr:sp macro="" textlink="">
      <xdr:nvSpPr>
        <xdr:cNvPr id="22" name="Rechteck 21">
          <a:extLst>
            <a:ext uri="{FF2B5EF4-FFF2-40B4-BE49-F238E27FC236}">
              <a16:creationId xmlns:a16="http://schemas.microsoft.com/office/drawing/2014/main" id="{00000000-0008-0000-0E00-000016000000}"/>
            </a:ext>
          </a:extLst>
        </xdr:cNvPr>
        <xdr:cNvSpPr/>
      </xdr:nvSpPr>
      <xdr:spPr bwMode="auto">
        <a:xfrm>
          <a:off x="10631582" y="4381500"/>
          <a:ext cx="2052000" cy="185313"/>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19</xdr:row>
      <xdr:rowOff>0</xdr:rowOff>
    </xdr:from>
    <xdr:to>
      <xdr:col>11</xdr:col>
      <xdr:colOff>2996657</xdr:colOff>
      <xdr:row>19</xdr:row>
      <xdr:rowOff>6225</xdr:rowOff>
    </xdr:to>
    <xdr:sp macro="" textlink="">
      <xdr:nvSpPr>
        <xdr:cNvPr id="23" name="Rechteck 22">
          <a:extLst>
            <a:ext uri="{FF2B5EF4-FFF2-40B4-BE49-F238E27FC236}">
              <a16:creationId xmlns:a16="http://schemas.microsoft.com/office/drawing/2014/main" id="{00000000-0008-0000-0E00-000017000000}"/>
            </a:ext>
          </a:extLst>
        </xdr:cNvPr>
        <xdr:cNvSpPr/>
      </xdr:nvSpPr>
      <xdr:spPr bwMode="auto">
        <a:xfrm>
          <a:off x="10631582" y="4543425"/>
          <a:ext cx="2052000" cy="1872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oneCellAnchor>
    <xdr:from>
      <xdr:col>12</xdr:col>
      <xdr:colOff>0</xdr:colOff>
      <xdr:row>15</xdr:row>
      <xdr:rowOff>142875</xdr:rowOff>
    </xdr:from>
    <xdr:ext cx="2924174" cy="657225"/>
    <xdr:sp macro="" textlink="$D$150">
      <xdr:nvSpPr>
        <xdr:cNvPr id="24" name="Textfeld 23">
          <a:extLst>
            <a:ext uri="{FF2B5EF4-FFF2-40B4-BE49-F238E27FC236}">
              <a16:creationId xmlns:a16="http://schemas.microsoft.com/office/drawing/2014/main" id="{00000000-0008-0000-0E00-000018000000}"/>
            </a:ext>
          </a:extLst>
        </xdr:cNvPr>
        <xdr:cNvSpPr txBox="1"/>
      </xdr:nvSpPr>
      <xdr:spPr>
        <a:xfrm>
          <a:off x="12963525" y="4038600"/>
          <a:ext cx="2924174" cy="657225"/>
        </a:xfrm>
        <a:prstGeom prst="rect">
          <a:avLst/>
        </a:prstGeom>
        <a:noFill/>
        <a:ln>
          <a:noFill/>
        </a:ln>
      </xdr:spPr>
      <xdr:txBody>
        <a:bodyPr vertOverflow="clip" horzOverflow="clip" wrap="square" lIns="0" tIns="0" rIns="0" bIns="0" rtlCol="0" anchor="t">
          <a:noAutofit/>
        </a:bodyPr>
        <a:lstStyle/>
        <a:p>
          <a:pPr algn="l"/>
          <a:fld id="{60965AAD-8297-4335-86B5-63A1B014A349}" type="TxLink">
            <a:rPr lang="en-US" sz="1000" b="0" i="0" u="none" strike="noStrike" dirty="0" err="1" smtClean="0">
              <a:solidFill>
                <a:sysClr val="windowText" lastClr="000000"/>
              </a:solidFill>
              <a:latin typeface="Arial"/>
              <a:cs typeface="Arial"/>
            </a:rPr>
            <a:pPr algn="l"/>
            <a:t> </a:t>
          </a:fld>
          <a:endParaRPr lang="de-DE" sz="1100" dirty="0" err="1">
            <a:solidFill>
              <a:sysClr val="windowText" lastClr="000000"/>
            </a:solidFill>
          </a:endParaRPr>
        </a:p>
      </xdr:txBody>
    </xdr:sp>
    <xdr:clientData/>
  </xdr:oneCellAnchor>
  <xdr:twoCellAnchor>
    <xdr:from>
      <xdr:col>11</xdr:col>
      <xdr:colOff>944657</xdr:colOff>
      <xdr:row>27</xdr:row>
      <xdr:rowOff>1703</xdr:rowOff>
    </xdr:from>
    <xdr:to>
      <xdr:col>11</xdr:col>
      <xdr:colOff>2996657</xdr:colOff>
      <xdr:row>27</xdr:row>
      <xdr:rowOff>199703</xdr:rowOff>
    </xdr:to>
    <xdr:sp macro="" textlink="">
      <xdr:nvSpPr>
        <xdr:cNvPr id="7" name="Rechteck 6">
          <a:extLst>
            <a:ext uri="{FF2B5EF4-FFF2-40B4-BE49-F238E27FC236}">
              <a16:creationId xmlns:a16="http://schemas.microsoft.com/office/drawing/2014/main" id="{00000000-0008-0000-0E00-000007000000}"/>
            </a:ext>
          </a:extLst>
        </xdr:cNvPr>
        <xdr:cNvSpPr/>
      </xdr:nvSpPr>
      <xdr:spPr bwMode="auto">
        <a:xfrm>
          <a:off x="10632279" y="5967605"/>
          <a:ext cx="2052000" cy="1980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0.51422</cdr:x>
      <cdr:y>0.04219</cdr:y>
    </cdr:from>
    <cdr:to>
      <cdr:x>0.63321</cdr:x>
      <cdr:y>0.10743</cdr:y>
    </cdr:to>
    <cdr:sp macro="" textlink="'M9 Rezeptur, Recycling'!$N$92">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50829" y="155077"/>
          <a:ext cx="72909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BDE76E0-410E-4DF1-A0B3-9905CF4CACBB}" type="TxLink">
            <a:rPr lang="en-US" sz="1000" b="1" i="0" u="none" strike="noStrike" dirty="0" err="1">
              <a:solidFill>
                <a:srgbClr val="323232"/>
              </a:solidFill>
              <a:latin typeface="Arial"/>
              <a:cs typeface="Arial"/>
            </a:rPr>
            <a:pPr/>
            <a:t>10.824</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0.10743</cdr:y>
    </cdr:to>
    <cdr:sp macro="" textlink="'M9 Rezeptur, Recycling'!$O$92">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64783" y="155077"/>
          <a:ext cx="72909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10.703</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9 Rezeptur, Recycling'!$M$92">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D0AB8C8-75B2-4DAD-8F56-FFC0DF7ABD2A}" type="TxLink">
            <a:rPr lang="en-US" sz="1000" b="1" i="0" u="none" strike="noStrike" dirty="0" err="1" smtClean="0">
              <a:solidFill>
                <a:srgbClr val="323232"/>
              </a:solidFill>
              <a:latin typeface="Arial"/>
              <a:cs typeface="Arial"/>
            </a:rPr>
            <a:pPr/>
            <a:t>10.914</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5.xml><?xml version="1.0" encoding="utf-8"?>
<c:userShapes xmlns:c="http://schemas.openxmlformats.org/drawingml/2006/chart">
  <cdr:relSizeAnchor xmlns:cdr="http://schemas.openxmlformats.org/drawingml/2006/chartDrawing">
    <cdr:from>
      <cdr:x>0.24983</cdr:x>
      <cdr:y>0.03789</cdr:y>
    </cdr:from>
    <cdr:to>
      <cdr:x>0.38319</cdr:x>
      <cdr:y>0.09502</cdr:y>
    </cdr:to>
    <cdr:sp macro="" textlink="'M9 Rezeptur, Recycling'!$U$143">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74259" y="159045"/>
          <a:ext cx="89372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445.512 €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0.09502</cdr:y>
    </cdr:to>
    <cdr:sp macro="" textlink="'M9 Rezeptur, Recycling'!$V$143">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01058" y="159045"/>
          <a:ext cx="89379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659.744 €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0.09502</cdr:y>
    </cdr:to>
    <cdr:sp macro="" textlink="'M9 Rezeptur, Recycling'!$W$143">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10354" y="159045"/>
          <a:ext cx="89365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1.028.897 €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6.xml><?xml version="1.0" encoding="utf-8"?>
<c:userShapes xmlns:c="http://schemas.openxmlformats.org/drawingml/2006/chart">
  <cdr:relSizeAnchor xmlns:cdr="http://schemas.openxmlformats.org/drawingml/2006/chartDrawing">
    <cdr:from>
      <cdr:x>0.23302</cdr:x>
      <cdr:y>0</cdr:y>
    </cdr:from>
    <cdr:to>
      <cdr:x>0.32481</cdr:x>
      <cdr:y>1</cdr:y>
    </cdr:to>
    <cdr:sp macro="" textlink="'M9 Rezeptur, Recycling'!$E$135">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01546" y="0"/>
          <a:ext cx="63087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393,1</a:t>
          </a:fld>
          <a:endParaRPr lang="en-GB" sz="1100" dirty="0" err="1">
            <a:solidFill>
              <a:schemeClr val="tx1"/>
            </a:solidFill>
          </a:endParaRPr>
        </a:p>
      </cdr:txBody>
    </cdr:sp>
  </cdr:relSizeAnchor>
  <cdr:relSizeAnchor xmlns:cdr="http://schemas.openxmlformats.org/drawingml/2006/chartDrawing">
    <cdr:from>
      <cdr:x>0.52095</cdr:x>
      <cdr:y>0</cdr:y>
    </cdr:from>
    <cdr:to>
      <cdr:x>0.61274</cdr:x>
      <cdr:y>1</cdr:y>
    </cdr:to>
    <cdr:sp macro="" textlink="'M9 Rezeptur, Recycling'!$F$135">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80489" y="0"/>
          <a:ext cx="63087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314,8</a:t>
          </a:fld>
          <a:endParaRPr lang="en-GB" sz="1100" dirty="0" err="1">
            <a:solidFill>
              <a:schemeClr val="tx1"/>
            </a:solidFill>
          </a:endParaRPr>
        </a:p>
      </cdr:txBody>
    </cdr:sp>
  </cdr:relSizeAnchor>
  <cdr:relSizeAnchor xmlns:cdr="http://schemas.openxmlformats.org/drawingml/2006/chartDrawing">
    <cdr:from>
      <cdr:x>0.80269</cdr:x>
      <cdr:y>0</cdr:y>
    </cdr:from>
    <cdr:to>
      <cdr:x>0.89447</cdr:x>
      <cdr:y>1</cdr:y>
    </cdr:to>
    <cdr:sp macro="" textlink="'M9 Rezeptur, Recycling'!$G$135">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516888" y="0"/>
          <a:ext cx="63080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209,2</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7.xml><?xml version="1.0" encoding="utf-8"?>
<c:userShapes xmlns:c="http://schemas.openxmlformats.org/drawingml/2006/chart">
  <cdr:relSizeAnchor xmlns:cdr="http://schemas.openxmlformats.org/drawingml/2006/chartDrawing">
    <cdr:from>
      <cdr:x>0.26001</cdr:x>
      <cdr:y>0</cdr:y>
    </cdr:from>
    <cdr:to>
      <cdr:x>0.35189</cdr:x>
      <cdr:y>0.05289</cdr:y>
    </cdr:to>
    <cdr:sp macro="" textlink="'M9 Rezeptur, Recycling'!$M$140">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700767" y="0"/>
          <a:ext cx="60100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10.521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0.05289</cdr:y>
    </cdr:to>
    <cdr:sp macro="" textlink="'M9 Rezeptur, Recycling'!$N$140">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56807" y="0"/>
          <a:ext cx="6010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10.509</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0.05289</cdr:y>
    </cdr:to>
    <cdr:sp macro="" textlink="'M9 Rezeptur, Recycling'!$O$140">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58636" y="0"/>
          <a:ext cx="60106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10.494</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8.xml><?xml version="1.0" encoding="utf-8"?>
<xdr:wsDr xmlns:xdr="http://schemas.openxmlformats.org/drawingml/2006/spreadsheetDrawing" xmlns:a="http://schemas.openxmlformats.org/drawingml/2006/main">
  <xdr:oneCellAnchor>
    <xdr:from>
      <xdr:col>0</xdr:col>
      <xdr:colOff>95250</xdr:colOff>
      <xdr:row>0</xdr:row>
      <xdr:rowOff>76202</xdr:rowOff>
    </xdr:from>
    <xdr:ext cx="9639300" cy="30394274"/>
    <xdr:sp macro="" textlink="">
      <xdr:nvSpPr>
        <xdr:cNvPr id="2" name="Textfeld 1">
          <a:extLst>
            <a:ext uri="{FF2B5EF4-FFF2-40B4-BE49-F238E27FC236}">
              <a16:creationId xmlns:a16="http://schemas.microsoft.com/office/drawing/2014/main" id="{00000000-0008-0000-1000-000002000000}"/>
            </a:ext>
          </a:extLst>
        </xdr:cNvPr>
        <xdr:cNvSpPr txBox="1"/>
      </xdr:nvSpPr>
      <xdr:spPr>
        <a:xfrm>
          <a:off x="95250" y="76202"/>
          <a:ext cx="9639300" cy="30394274"/>
        </a:xfrm>
        <a:prstGeom prst="rect">
          <a:avLst/>
        </a:prstGeom>
        <a:solidFill>
          <a:schemeClr val="bg1">
            <a:lumMod val="95000"/>
          </a:schemeClr>
        </a:solidFill>
      </xdr:spPr>
      <xdr:txBody>
        <a:bodyPr vertOverflow="clip" horzOverflow="clip" wrap="square" rtlCol="0" anchor="t">
          <a:noAutofit/>
        </a:bodyPr>
        <a:lstStyle/>
        <a:p>
          <a:pPr algn="l">
            <a:spcBef>
              <a:spcPts val="900"/>
            </a:spcBef>
            <a:spcAft>
              <a:spcPts val="300"/>
            </a:spcAft>
          </a:pPr>
          <a:r>
            <a:rPr lang="de-DE" sz="2400">
              <a:effectLst/>
              <a:latin typeface="Verdana" panose="020B0604030504040204" pitchFamily="34" charset="0"/>
              <a:ea typeface="Times New Roman" panose="02020603050405020304" pitchFamily="18" charset="0"/>
              <a:cs typeface="Times New Roman" panose="02020603050405020304" pitchFamily="18" charset="0"/>
            </a:rPr>
            <a:t>Nutzungsbedingungen von ecoinvent Emissionsfaktoren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800"/>
            </a:spcAft>
          </a:pPr>
          <a:r>
            <a:rPr lang="de-DE" sz="1050">
              <a:effectLst/>
              <a:latin typeface="Helvetica LT Pro"/>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lnSpc>
              <a:spcPct val="107000"/>
            </a:lnSpc>
            <a:spcAft>
              <a:spcPts val="800"/>
            </a:spcAft>
          </a:pPr>
          <a:r>
            <a:rPr lang="de-DE" sz="1100">
              <a:effectLst/>
              <a:latin typeface="Verdana" panose="020B0604030504040204" pitchFamily="34" charset="0"/>
              <a:ea typeface="Calibri" panose="020F0502020204030204" pitchFamily="34" charset="0"/>
              <a:cs typeface="Times New Roman" panose="02020603050405020304" pitchFamily="18" charset="0"/>
            </a:rPr>
            <a:t>Für Scope 1- und Scope 2-Emissionen sind derzeit Emissionsfaktoren von frei verfügbaren Quellen verwendbar. Speziell im Bereich der Scope 3-Emissionen kann es notwendig sein, dass Emissionsfaktoren aus der Datenbank „ecoinvent“ verwendet werden müssen, da diese in anderen Datenbanken nicht vorhanden sind. </a:t>
          </a:r>
          <a:r>
            <a:rPr lang="de-DE" sz="1100" b="1">
              <a:effectLst/>
              <a:latin typeface="Verdana" panose="020B0604030504040204" pitchFamily="34" charset="0"/>
              <a:ea typeface="Calibri" panose="020F0502020204030204" pitchFamily="34" charset="0"/>
              <a:cs typeface="Times New Roman" panose="02020603050405020304" pitchFamily="18" charset="0"/>
            </a:rPr>
            <a:t>Im vorliegenden Vermeidungskostenrechner wurde ein </a:t>
          </a:r>
          <a:r>
            <a:rPr lang="de-DE" sz="1100" b="1" baseline="0">
              <a:effectLst/>
              <a:latin typeface="Verdana" panose="020B0604030504040204" pitchFamily="34" charset="0"/>
              <a:ea typeface="Calibri" panose="020F0502020204030204" pitchFamily="34" charset="0"/>
              <a:cs typeface="Times New Roman" panose="02020603050405020304" pitchFamily="18" charset="0"/>
            </a:rPr>
            <a:t>Emissionsfaktor von ecoinvent verwendet. Die Lizenzgebühr für die Verwendung dieses (statischen) Emissionsfaktors </a:t>
          </a:r>
          <a:r>
            <a:rPr lang="de-DE" sz="1100" b="1" baseline="0">
              <a:effectLst/>
              <a:latin typeface="+mn-lt"/>
              <a:ea typeface="+mn-ea"/>
              <a:cs typeface="+mn-cs"/>
            </a:rPr>
            <a:t>wurde von FutureCamp Climate im Rahmen des Projektes übernommen. </a:t>
          </a:r>
          <a:r>
            <a:rPr lang="de-DE" sz="1100" b="0" baseline="0">
              <a:effectLst/>
              <a:latin typeface="Verdana" panose="020B0604030504040204" pitchFamily="34" charset="0"/>
              <a:ea typeface="Calibri" panose="020F0502020204030204" pitchFamily="34" charset="0"/>
              <a:cs typeface="Times New Roman" panose="02020603050405020304" pitchFamily="18" charset="0"/>
            </a:rPr>
            <a:t>Das Tool wird durch die Mitglieder des Betonverband SLG genutzt. </a:t>
          </a:r>
        </a:p>
        <a:p>
          <a:pPr algn="l">
            <a:lnSpc>
              <a:spcPct val="107000"/>
            </a:lnSpc>
            <a:spcAft>
              <a:spcPts val="200"/>
            </a:spcAft>
          </a:pPr>
          <a:r>
            <a:rPr lang="de-DE" sz="1100" b="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Im Folgenden</a:t>
          </a:r>
          <a:r>
            <a:rPr lang="de-DE" sz="1100" b="0" baseline="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sind die Nutzungsbedingungen für ecoinvent-Daten dargestellt.</a:t>
          </a:r>
          <a:endParaRPr lang="de-DE" sz="1100" b="0">
            <a:solidFill>
              <a:srgbClr val="000000"/>
            </a:solidFill>
            <a:effectLst/>
            <a:latin typeface="Verdana" panose="020B0604030504040204" pitchFamily="34" charset="0"/>
            <a:ea typeface="Calibri" panose="020F0502020204030204" pitchFamily="34" charset="0"/>
            <a:cs typeface="Times New Roman" panose="02020603050405020304" pitchFamily="18" charset="0"/>
          </a:endParaRPr>
        </a:p>
        <a:p>
          <a:pPr algn="l">
            <a:lnSpc>
              <a:spcPct val="107000"/>
            </a:lnSpc>
            <a:spcAft>
              <a:spcPts val="200"/>
            </a:spcAft>
          </a:pP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200"/>
            </a:spcAft>
          </a:pPr>
          <a:r>
            <a:rPr lang="de-DE" sz="20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Anlage:</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200"/>
            </a:spcAft>
          </a:pPr>
          <a:r>
            <a:rPr lang="de-DE" sz="20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Nutzungsbedingungen (NB) für Benutzer des Tools des Lizenznehmers FutureCamp Climate GmbH, die ecoinvent-Daten verwenden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spcBef>
              <a:spcPts val="200"/>
            </a:spcBef>
            <a:spcAft>
              <a:spcPts val="300"/>
            </a:spcAft>
          </a:pPr>
          <a:r>
            <a:rPr lang="de-DE" sz="1600">
              <a:solidFill>
                <a:srgbClr val="000000"/>
              </a:solidFill>
              <a:effectLst/>
              <a:latin typeface="Verdana" panose="020B0604030504040204" pitchFamily="34" charset="0"/>
              <a:ea typeface="Calibri" panose="020F0502020204030204" pitchFamily="34" charset="0"/>
              <a:cs typeface="Segoe UI" panose="020B0502040204020203" pitchFamily="34"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spcBef>
              <a:spcPts val="200"/>
            </a:spcBef>
            <a:spcAft>
              <a:spcPts val="3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Version 1.0 / 28. Juli 2022</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Präambel</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Lizenznehmer FutureCamp Climate GmbH ist Lizenznehmer der ecoinvent Association.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Lizenznehmer hat eine Teilmenge der</a:t>
          </a:r>
          <a:r>
            <a:rPr lang="de-DE" sz="1100">
              <a:effectLst/>
              <a:latin typeface="Verdana" panose="020B0604030504040204" pitchFamily="34" charset="0"/>
              <a:ea typeface="Calibri" panose="020F0502020204030204" pitchFamily="34" charset="0"/>
              <a:cs typeface="Times New Roman" panose="02020603050405020304" pitchFamily="18" charset="0"/>
            </a:rPr>
            <a:t> LCIA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 bzw. Limited Life Cycle Impact Assessment Results)</a:t>
          </a:r>
          <a:r>
            <a:rPr lang="de-DE" sz="1100">
              <a:effectLst/>
              <a:latin typeface="Verdana" panose="020B0604030504040204" pitchFamily="34" charset="0"/>
              <a:ea typeface="Calibri" panose="020F0502020204030204" pitchFamily="34" charset="0"/>
              <a:cs typeface="Times New Roman" panose="02020603050405020304" pitchFamily="18" charset="0"/>
            </a:rPr>
            <a:t>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im Tool für seinen kundenseitigen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a:t>
          </a:r>
          <a:r>
            <a:rPr lang="de-DE" sz="1100">
              <a:effectLst/>
              <a:latin typeface="Verdana" panose="020B0604030504040204" pitchFamily="34" charset="0"/>
              <a:ea typeface="Calibri" panose="020F0502020204030204" pitchFamily="34" charset="0"/>
              <a:cs typeface="Times New Roman" panose="02020603050405020304" pitchFamily="18" charset="0"/>
            </a:rPr>
            <a:t> implementiert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r>
            <a:rPr lang="de-DE" sz="1100">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a:t>
          </a:r>
          <a:r>
            <a:rPr lang="de-DE" sz="1100">
              <a:effectLst/>
              <a:latin typeface="Verdana" panose="020B0604030504040204" pitchFamily="34" charset="0"/>
              <a:ea typeface="Calibri" panose="020F0502020204030204" pitchFamily="34" charset="0"/>
              <a:cs typeface="Times New Roman" panose="02020603050405020304" pitchFamily="18" charset="0"/>
            </a:rPr>
            <a:t>Lizenznehmer FutureCamp Climate GmbH unterlizenziert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eine solche eingeschränkte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LCIA</a:t>
          </a:r>
          <a:r>
            <a:rPr lang="de-DE" sz="1100">
              <a:effectLst/>
              <a:latin typeface="Verdana" panose="020B0604030504040204" pitchFamily="34" charset="0"/>
              <a:ea typeface="Calibri" panose="020F0502020204030204" pitchFamily="34" charset="0"/>
              <a:cs typeface="Times New Roman" panose="02020603050405020304" pitchFamily="18" charset="0"/>
            </a:rPr>
            <a:t> an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den 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(in der Regel Kunde von FutureCamp Climate).</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 Parteien vereinbaren daher Folgendes: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1 Begriffsbestimmungen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 folgenden definierten Begriffe, die groß geschrieben und in fetten Buchstaben gedruckt werden, müssen sowohl im Singular als auch im Plural die gleiche Bedeutung haben: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die juristische Person oder Organisation, die das Tool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Lizenznehmers</a:t>
          </a:r>
          <a:r>
            <a:rPr lang="de-DE" sz="1100">
              <a:effectLst/>
              <a:latin typeface="Verdana" panose="020B0604030504040204" pitchFamily="34" charset="0"/>
              <a:ea typeface="Calibri" panose="020F0502020204030204" pitchFamily="34" charset="0"/>
              <a:cs typeface="Times New Roman" panose="02020603050405020304" pitchFamily="18" charset="0"/>
            </a:rPr>
            <a:t> entwickelt hat (FutureCamp)</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die in diesem Dokument festgelegten Nutzungsbedingungen.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die Anwendung/der Rechner basierend auf Excel oder ähnlicher Applikation, die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dem Toolbenutzer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vom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a:t>
          </a:r>
          <a:r>
            <a:rPr lang="de-DE" sz="1100">
              <a:effectLst/>
              <a:latin typeface="Verdana" panose="020B0604030504040204" pitchFamily="34" charset="0"/>
              <a:ea typeface="Calibri" panose="020F0502020204030204" pitchFamily="34" charset="0"/>
              <a:cs typeface="Times New Roman" panose="02020603050405020304" pitchFamily="18" charset="0"/>
            </a:rPr>
            <a:t> zur Verfügung gestellt wird</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Benutzer des </a:t>
          </a:r>
          <a:r>
            <a:rPr lang="de-DE" sz="1100" b="1">
              <a:effectLst/>
              <a:latin typeface="Verdana" panose="020B0604030504040204" pitchFamily="34" charset="0"/>
              <a:ea typeface="Calibri" panose="020F0502020204030204" pitchFamily="34" charset="0"/>
              <a:cs typeface="Times New Roman" panose="02020603050405020304" pitchFamily="18" charset="0"/>
            </a:rPr>
            <a:t>Tools des Lizenznehmers</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individueller (End)Nutzer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Tools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und Lizenznehmer von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Ergebnisse der Ökobilanz.</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eine Teilmenge der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Laufzeit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gemäß der Definition unter § 5</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2 Geltungsbereich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Diese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ergänzen und gelten für das Vertragsverhältnis zwischen</a:t>
          </a:r>
          <a:r>
            <a:rPr lang="de-DE" sz="1100">
              <a:effectLst/>
              <a:latin typeface="Verdana" panose="020B0604030504040204" pitchFamily="34" charset="0"/>
              <a:ea typeface="Calibri" panose="020F0502020204030204" pitchFamily="34" charset="0"/>
              <a:cs typeface="Times New Roman" panose="02020603050405020304" pitchFamily="18" charset="0"/>
            </a:rPr>
            <a:t> dem Lizenznehmer</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und </a:t>
          </a:r>
          <a:r>
            <a:rPr lang="de-DE" sz="1100">
              <a:effectLst/>
              <a:latin typeface="Verdana" panose="020B0604030504040204" pitchFamily="34" charset="0"/>
              <a:ea typeface="Calibri" panose="020F0502020204030204" pitchFamily="34" charset="0"/>
              <a:cs typeface="Times New Roman" panose="02020603050405020304" pitchFamily="18" charset="0"/>
            </a:rPr>
            <a:t>dem Tool-Benutzer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in dem </a:t>
          </a:r>
          <a:r>
            <a:rPr lang="de-DE" sz="1100">
              <a:effectLst/>
              <a:latin typeface="Verdana" panose="020B0604030504040204" pitchFamily="34" charset="0"/>
              <a:ea typeface="Calibri" panose="020F0502020204030204" pitchFamily="34" charset="0"/>
              <a:cs typeface="Times New Roman" panose="02020603050405020304" pitchFamily="18" charset="0"/>
            </a:rPr>
            <a:t>der Lizenznehmer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den Tool-Benutzer</a:t>
          </a:r>
          <a:r>
            <a:rPr lang="de-DE" sz="1100">
              <a:effectLst/>
              <a:latin typeface="Verdana" panose="020B0604030504040204" pitchFamily="34" charset="0"/>
              <a:ea typeface="Calibri" panose="020F0502020204030204" pitchFamily="34" charset="0"/>
              <a:cs typeface="Times New Roman" panose="02020603050405020304" pitchFamily="18" charset="0"/>
            </a:rPr>
            <a:t>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im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 seines</a:t>
          </a:r>
          <a:r>
            <a:rPr lang="de-DE" sz="1100">
              <a:effectLst/>
              <a:latin typeface="Verdana" panose="020B0604030504040204" pitchFamily="34" charset="0"/>
              <a:ea typeface="Calibri" panose="020F0502020204030204" pitchFamily="34" charset="0"/>
              <a:cs typeface="Times New Roman" panose="02020603050405020304" pitchFamily="18" charset="0"/>
            </a:rPr>
            <a: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lizenziert.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3 Gewerblicher Rechtsschutz und sonstige Rechte</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ist alleiniges Eigentum von ecoinvent. </a:t>
          </a:r>
          <a:r>
            <a:rPr lang="de-DE" sz="1100">
              <a:effectLst/>
              <a:latin typeface="Verdana" panose="020B0604030504040204" pitchFamily="34" charset="0"/>
              <a:ea typeface="Calibri" panose="020F0502020204030204" pitchFamily="34" charset="0"/>
              <a:cs typeface="Times New Roman" panose="02020603050405020304" pitchFamily="18" charset="0"/>
            </a:rPr>
            <a: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wird nur lizenziert, nicht verkauft.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ist durch nationale und internationale Gesetze wie Urheberrechtsgesetze, Datenbankrechte und/oder Verträge geschützt. ecoinvent behält sich alle geistigen Eigentumsrechte an und für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effectLst/>
              <a:latin typeface="Verdana" panose="020B0604030504040204" pitchFamily="34" charset="0"/>
              <a:ea typeface="Calibri" panose="020F0502020204030204" pitchFamily="34" charset="0"/>
              <a:cs typeface="Times New Roman" panose="02020603050405020304" pitchFamily="18" charset="0"/>
            </a:rPr>
            <a:t> vor</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Dem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Tool-Nutzer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wird das Recht eingeräumt, die ecoinvent-Daten wie hierin dargelegt zu nutzen.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Vorbehaltlich §4 gewährt</a:t>
          </a:r>
          <a:r>
            <a:rPr lang="de-DE" sz="1100">
              <a:effectLst/>
              <a:latin typeface="Verdana" panose="020B0604030504040204" pitchFamily="34" charset="0"/>
              <a:ea typeface="Calibri" panose="020F0502020204030204" pitchFamily="34" charset="0"/>
              <a:cs typeface="Times New Roman" panose="02020603050405020304" pitchFamily="18" charset="0"/>
            </a:rPr>
            <a:t> der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 dem 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ein nicht ausschließliches, nicht übertragbares, beschränktes, widerrufliches und gebührenpflichtiges Recht während der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Laufzeit</a:t>
          </a:r>
          <a:r>
            <a:rPr lang="de-DE" sz="1100">
              <a:effectLst/>
              <a:latin typeface="Verdana" panose="020B0604030504040204" pitchFamily="34" charset="0"/>
              <a:ea typeface="Calibri" panose="020F0502020204030204" pitchFamily="34" charset="0"/>
              <a:cs typeface="Times New Roman" panose="02020603050405020304" pitchFamily="18" charset="0"/>
            </a:rPr>
            <a:t> zur Nutzung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zur Erstellung einer unbegrenzten Anzahl von internen oder externen, kommerziellen oder akademischen Studien und Berichten mit Hilfe</a:t>
          </a:r>
          <a:r>
            <a:rPr lang="de-DE" sz="1100">
              <a:effectLst/>
              <a:latin typeface="Verdana" panose="020B0604030504040204" pitchFamily="34" charset="0"/>
              <a:ea typeface="Calibri" panose="020F0502020204030204" pitchFamily="34" charset="0"/>
              <a:cs typeface="Times New Roman" panose="02020603050405020304" pitchFamily="18" charset="0"/>
            </a:rPr>
            <a:t>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Tools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r>
            <a:rPr lang="de-DE" sz="1100">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wird vom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Tool-Benutzer</a:t>
          </a:r>
          <a:r>
            <a:rPr lang="de-DE" sz="1100">
              <a:effectLst/>
              <a:latin typeface="Verdana" panose="020B0604030504040204" pitchFamily="34" charset="0"/>
              <a:ea typeface="Calibri" panose="020F0502020204030204" pitchFamily="34" charset="0"/>
              <a:cs typeface="Times New Roman" panose="02020603050405020304" pitchFamily="18" charset="0"/>
            </a:rPr>
            <a:t> des Lizenznehmers unter Angabe von "ecoinvent Data", wie sie im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 des Lizenznehmers</a:t>
          </a:r>
          <a:r>
            <a:rPr lang="de-DE" sz="1100">
              <a:effectLst/>
              <a:latin typeface="Verdana" panose="020B0604030504040204" pitchFamily="34" charset="0"/>
              <a:ea typeface="Calibri" panose="020F0502020204030204" pitchFamily="34" charset="0"/>
              <a:cs typeface="Times New Roman" panose="02020603050405020304" pitchFamily="18" charset="0"/>
            </a:rPr>
            <a:t> implementiert sind</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unter Angabe der verwendeten ecoinvent Data Version 3.x zitiert.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4 Nutzungsbeschränkungen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Der Lizenznehmer erklärt und garantiert, dass seine Tool-Benutzer nicht:</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Limited LCIA weder ganz noch teilweise verwenden, kopieren, anpassen, ändern, übersetzen, modifizieren, unterlizenzieren, verkaufen oder vertreiben, außer ausdrücklich in dieser Vereinbarung unterlizenziert oder anderweitig ausdrücklich durch zwingendes Recht vorgeschrieben;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Limited LCIA oder einen Teil oder eine Ableitung (Derivate) davon, die nicht in dieser Vereinbarung gewährt wurde, reproduzieren, verbreiten oder veröffentlichen;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Dritten Rechte in Bezug auf die Limited LCIA gewähren (z. B. Unterlizenzierungsrecht);</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Derivate Datenbanken oder Datensätze oder datenbankähnliche Produkte unter Verwendung der Limited LCIA oder deren Ableitung ganz oder teilweise veröffentlichen oder anderen zur Verfügung stellen;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Extrakte der Limited LCIA oder eines Teils oder einer Ableitung davon erarbeiten;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Limited LCIA oder einen Teil oder eine Ableitung davon in einem anderen Produkt oder einer anderen Dienstleistung verwenden;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Limited LCIA oder einen Teil oder eine Ableitung davon verwenden, um Dienstleistungen für Dritte zu erbringen, mit Ausnahme der in dieser Vereinbarung gewährten Studien und Berichte;</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Webcrawler oder andere Arten von Software- oder Hardwaretechnologie verwenden, um die Limited LCIA automatisch herunterzuladen oder zu indizieren;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das Tool zurückentwickeln, dekompilieren und disassemblieren, um daraus die Limited LCIA abzuleiten;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Anmeldedaten für den Zugriff auf das Tool an Dritte weitergeben oder Dritten den Zugriff auf das Tool ermöglichen;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Unterlizenzrechte an Dritte übertragen.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Der Lizenznehmer wird gegenüber dem Tool-Nutzer geltend machen, dass ecoinvent Begünstigtenrechte hinsichtlich der Durchsetzung der Einschränkungen gemäß dem vorstehenden Absatz hat.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Wenn der Lizenznehmer feststellt, dass sein Tool-Benutzer gegen eine der Einschränkungen gemäß diesem Abschnitt verstößt, muss der Lizenznehmer ecoinvent unverzüglich schriftlich über den Verstoß informieren.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5 Laufzeit und Kündigung</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Das Tool darf vom Tool-Benutzer auf unbeschränkte Zeit verwendet werden, solange diese NB eingehalten werden.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Lizenznehmer</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kann die hierunter gewährten Rechte mit sofortiger Wirkung kündigen, wenn der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gegen diese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effectLst/>
              <a:latin typeface="Verdana" panose="020B0604030504040204" pitchFamily="34" charset="0"/>
              <a:ea typeface="Calibri" panose="020F0502020204030204" pitchFamily="34" charset="0"/>
              <a:cs typeface="Times New Roman" panose="02020603050405020304" pitchFamily="18" charset="0"/>
            </a:rPr>
            <a:t> verstößt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Nach Ablauf oder Beendigung der hierunter gewährten Rechte ist</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der 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verpflichtet, alle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von seinen Hard- und Softwaregeräten zu löschen und dem Lizenznehmer eine unaufgeforderte Löschung zu bestätigen.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6 Lizenzgebühr</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 Lizenzgebühr für die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richtet sich nach</a:t>
          </a:r>
          <a:r>
            <a:rPr lang="de-DE" sz="1100">
              <a:effectLst/>
              <a:latin typeface="Verdana" panose="020B0604030504040204" pitchFamily="34" charset="0"/>
              <a:ea typeface="Calibri" panose="020F0502020204030204" pitchFamily="34" charset="0"/>
              <a:cs typeface="Times New Roman" panose="02020603050405020304" pitchFamily="18" charset="0"/>
            </a:rPr>
            <a:t> der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zum Zeitpunkt der Bestellung gültigen Preisliste des Lizenznehmers oder vorbehaltlich einer schriftlichen Vereinbarung zwischen den Parteien über den Preis.</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7 Zusicherungen und Gewährleistungen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Begrenzte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wird "wie vorliegend" zur Verfügung gestellt. Es liegt in der Verantwortung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Tool-Benutzers des Lizenznehmers</a:t>
          </a:r>
          <a:r>
            <a:rPr lang="de-DE" sz="1100">
              <a:effectLst/>
              <a:latin typeface="Verdana" panose="020B0604030504040204" pitchFamily="34" charset="0"/>
              <a:ea typeface="Calibri" panose="020F0502020204030204" pitchFamily="34" charset="0"/>
              <a:cs typeface="Times New Roman" panose="02020603050405020304" pitchFamily="18" charset="0"/>
            </a:rPr>
            <a:t>, die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Gültigkeit und Integrität von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effectLst/>
              <a:latin typeface="Verdana" panose="020B0604030504040204" pitchFamily="34" charset="0"/>
              <a:ea typeface="Calibri" panose="020F0502020204030204" pitchFamily="34" charset="0"/>
              <a:cs typeface="Times New Roman" panose="02020603050405020304" pitchFamily="18" charset="0"/>
            </a:rPr>
            <a:t> für seine Verwendung zu überprüfen, zu bewerten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und zu entscheiden, ob es für die beabsichtigte Verwendung geeignet ist oder nicht.</a:t>
          </a:r>
          <a:r>
            <a:rPr lang="de-DE" sz="1100">
              <a:effectLst/>
              <a:latin typeface="Verdana" panose="020B0604030504040204" pitchFamily="34" charset="0"/>
              <a:ea typeface="Calibri" panose="020F0502020204030204" pitchFamily="34" charset="0"/>
              <a:cs typeface="Times New Roman" panose="02020603050405020304" pitchFamily="18" charset="0"/>
            </a:rPr>
            <a: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verwendet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auf eigenes Risiko.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ecoinvent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lehnt alle ausdrücklichen oder implizierten Zusicherungen und Gewährleistungen von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effectLst/>
              <a:latin typeface="Verdana" panose="020B0604030504040204" pitchFamily="34" charset="0"/>
              <a:ea typeface="Calibri" panose="020F0502020204030204" pitchFamily="34" charset="0"/>
              <a:cs typeface="Times New Roman" panose="02020603050405020304" pitchFamily="18" charset="0"/>
            </a:rPr>
            <a:t> ab,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einschließlich, aber nicht beschränkt auf Marktfähigkeit, Eignung für einen bestimmten Zweck, Genauigkeit, Vollständigkeit, Richtigkeit und Verletzung der geistigen Eigentumsrechte Dritter.</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ecoinvent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hat wirtschaftlich angemessene Anstrengungen unternommen, um zu reduzieren, </a:t>
          </a:r>
          <a:r>
            <a:rPr lang="de-DE" sz="1100">
              <a:effectLst/>
              <a:latin typeface="Verdana" panose="020B0604030504040204" pitchFamily="34" charset="0"/>
              <a:ea typeface="Calibri" panose="020F0502020204030204" pitchFamily="34" charset="0"/>
              <a:cs typeface="Times New Roman" panose="02020603050405020304" pitchFamily="18" charset="0"/>
            </a:rPr>
            <a:t>dass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den Rechten Dritter unterliegt.</a:t>
          </a:r>
          <a:r>
            <a:rPr lang="de-DE" sz="1100">
              <a:effectLst/>
              <a:latin typeface="Verdana" panose="020B0604030504040204" pitchFamily="34" charset="0"/>
              <a:ea typeface="Calibri" panose="020F0502020204030204" pitchFamily="34" charset="0"/>
              <a:cs typeface="Times New Roman" panose="02020603050405020304" pitchFamily="18" charset="0"/>
            </a:rPr>
            <a:t> ecoinvent</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lehnt jedoch ausdrücklich jede Zusicherung ab, dass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nicht den Rechten Dritter unterliegt. </a:t>
          </a:r>
          <a:r>
            <a:rPr lang="de-DE" sz="1100">
              <a:effectLst/>
              <a:latin typeface="Verdana" panose="020B0604030504040204" pitchFamily="34" charset="0"/>
              <a:ea typeface="Calibri" panose="020F0502020204030204" pitchFamily="34" charset="0"/>
              <a:cs typeface="Times New Roman" panose="02020603050405020304" pitchFamily="18" charset="0"/>
            </a:rPr>
            <a:t>Der Tool-Benutzer des Lizenznehmers hat den Lizenznehmer unverzüglich und schriftlich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zu benachrichtigen, wenn ein Dritter im Zusammenhang mit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effectLst/>
              <a:latin typeface="Verdana" panose="020B0604030504040204" pitchFamily="34" charset="0"/>
              <a:ea typeface="Calibri" panose="020F0502020204030204" pitchFamily="34" charset="0"/>
              <a:cs typeface="Times New Roman" panose="02020603050405020304" pitchFamily="18" charset="0"/>
            </a:rPr>
            <a:t> einen Verletzungsanspruch gegen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den Tool-Benutzer</a:t>
          </a:r>
          <a:r>
            <a:rPr lang="de-DE" sz="1100">
              <a:effectLst/>
              <a:latin typeface="Verdana" panose="020B0604030504040204" pitchFamily="34" charset="0"/>
              <a:ea typeface="Calibri" panose="020F0502020204030204" pitchFamily="34" charset="0"/>
              <a:cs typeface="Times New Roman" panose="02020603050405020304" pitchFamily="18" charset="0"/>
            </a:rPr>
            <a:t>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Lizenznehmers </a:t>
          </a:r>
          <a:r>
            <a:rPr lang="de-DE" sz="1100">
              <a:effectLst/>
              <a:latin typeface="Verdana" panose="020B0604030504040204" pitchFamily="34" charset="0"/>
              <a:ea typeface="Calibri" panose="020F0502020204030204" pitchFamily="34" charset="0"/>
              <a:cs typeface="Times New Roman" panose="02020603050405020304" pitchFamily="18" charset="0"/>
            </a:rPr>
            <a:t>geltend machen sollte.</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8 Haftungsbeschränkung</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Soweit dies nach geltendem Recht zulässig ist, lehnt ecoinvent jegliche Haftung für direkte Schäden und/oder indirekte Schäden (z. B. Folgeschäden, Einkommens-, Geschäfts- oder Gewinnverluste, Reputation) ab, die im Rahmen dieser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effectLst/>
              <a:latin typeface="Verdana" panose="020B0604030504040204" pitchFamily="34" charset="0"/>
              <a:ea typeface="Calibri" panose="020F0502020204030204" pitchFamily="34" charset="0"/>
              <a:cs typeface="Times New Roman" panose="02020603050405020304" pitchFamily="18" charset="0"/>
            </a:rPr>
            <a:t> auftreten</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Soweit dies nach geltendem Recht zulässig ist, ist hiermit jegliche Haftung für die Erfüllungsgehilfen von ecoinvent ausgeschlossen.</a:t>
          </a:r>
          <a:r>
            <a:rPr lang="de-DE" sz="1100">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9 Anwendbares Recht und Gerichtsstand</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Allgemeine Geschäftsbedingungen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Tool-Nutzers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werden ausdrücklich ausgeschlossen.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Diese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unterstehen ausschließlich schweizerischem Recht, ohne Rücksicht auf die Grundsätze des Kollisionsrechts.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Meinungsverschiedenheiten über die Auslegung dieser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oder andere Meinungsverschiedenheiten zwischen den Parteien über den oben beschriebenen Anwendungsbereich werden zuerst gütlich beigelegt. Für den Fall, dass keine gütliche Einigung erzielt wird, werden die sich aus oder im Zusammenhang mit diesen NB ergebenden Streitigkeiten ausschließlich vor dem zuständigen Gericht der Stadt Zürich verhandelt.</a:t>
          </a:r>
          <a:br>
            <a:rPr lang="de-DE" sz="1100" b="1" i="1">
              <a:solidFill>
                <a:srgbClr val="C00000"/>
              </a:solidFill>
              <a:effectLst/>
              <a:latin typeface="Verdana" panose="020B0604030504040204" pitchFamily="34" charset="0"/>
              <a:ea typeface="Times New Roman" panose="02020603050405020304" pitchFamily="18" charset="0"/>
              <a:cs typeface="Times New Roman" panose="02020603050405020304" pitchFamily="18" charset="0"/>
            </a:rPr>
          </a:br>
          <a:endParaRPr lang="de-DE" sz="1100" dirty="0" err="1">
            <a:solidFill>
              <a:schemeClr val="tx1"/>
            </a:solidFill>
          </a:endParaRPr>
        </a:p>
      </xdr:txBody>
    </xdr:sp>
    <xdr:clientData/>
  </xdr:oneCellAnchor>
</xdr:wsDr>
</file>

<file path=xl/theme/theme1.xml><?xml version="1.0" encoding="utf-8"?>
<a:theme xmlns:a="http://schemas.openxmlformats.org/drawingml/2006/main" name="FC-Climate">
  <a:themeElements>
    <a:clrScheme name="Betonverband">
      <a:dk1>
        <a:srgbClr val="323232"/>
      </a:dk1>
      <a:lt1>
        <a:srgbClr val="FFFFFF"/>
      </a:lt1>
      <a:dk2>
        <a:srgbClr val="323232"/>
      </a:dk2>
      <a:lt2>
        <a:srgbClr val="FFFFFF"/>
      </a:lt2>
      <a:accent1>
        <a:srgbClr val="B9B9B9"/>
      </a:accent1>
      <a:accent2>
        <a:srgbClr val="97CDFF"/>
      </a:accent2>
      <a:accent3>
        <a:srgbClr val="00549F"/>
      </a:accent3>
      <a:accent4>
        <a:srgbClr val="002546"/>
      </a:accent4>
      <a:accent5>
        <a:srgbClr val="32AF64"/>
      </a:accent5>
      <a:accent6>
        <a:srgbClr val="FAC832"/>
      </a:accent6>
      <a:hlink>
        <a:srgbClr val="323232"/>
      </a:hlink>
      <a:folHlink>
        <a:srgbClr val="323232"/>
      </a:folHlink>
    </a:clrScheme>
    <a:fontScheme name="FC-Excel">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1">
            <a:lumMod val="10000"/>
            <a:lumOff val="90000"/>
          </a:schemeClr>
        </a:solidFill>
        <a:ln>
          <a:solidFill>
            <a:schemeClr val="bg1">
              <a:lumMod val="75000"/>
            </a:schemeClr>
          </a:solidFill>
        </a:ln>
        <a:effectLst/>
      </a:spPr>
      <a:bodyPr vert="horz" wrap="square" lIns="91440" tIns="45720" rIns="91440" bIns="45720" numCol="1" rtlCol="0" anchor="ctr" anchorCtr="0" compatLnSpc="1">
        <a:prstTxWarp prst="textNoShape">
          <a:avLst/>
        </a:prstTxWarp>
        <a:noAutofit/>
      </a:bodyPr>
      <a:lstStyle>
        <a:defPPr algn="ctr">
          <a:defRPr dirty="0">
            <a:solidFill>
              <a:schemeClr val="tx1"/>
            </a:solidFill>
          </a:defRPr>
        </a:defPPr>
      </a:lstStyle>
    </a:spDef>
    <a:lnDef>
      <a:spPr bwMode="auto">
        <a:noFill/>
        <a:ln w="9525" cap="flat" cmpd="sng" algn="ctr">
          <a:solidFill>
            <a:srgbClr val="646464"/>
          </a:solidFill>
          <a:prstDash val="solid"/>
          <a:round/>
          <a:headEnd type="none" w="med" len="med"/>
          <a:tailEnd type="triangl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a:spPr>
      <a:bodyPr/>
      <a:lstStyle/>
    </a:lnDef>
    <a:txDef>
      <a:spPr>
        <a:noFill/>
      </a:spPr>
      <a:bodyPr wrap="square" rtlCol="0">
        <a:spAutoFit/>
      </a:bodyPr>
      <a:lstStyle>
        <a:defPPr>
          <a:defRPr dirty="0" err="1" smtClean="0">
            <a:solidFill>
              <a:schemeClr val="tx1"/>
            </a:solidFill>
          </a:defRPr>
        </a:defPPr>
      </a:lstStyle>
    </a:txDef>
  </a:objectDefaults>
  <a:extraClrSchemeLst>
    <a:extraClrScheme>
      <a:clrScheme name="Larissa 1">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Lst>
</a:theme>
</file>

<file path=xl/threadedComments/threadedComment1.xml><?xml version="1.0" encoding="utf-8"?>
<ThreadedComments xmlns="http://schemas.microsoft.com/office/spreadsheetml/2018/threadedcomments" xmlns:x="http://schemas.openxmlformats.org/spreadsheetml/2006/main">
  <threadedComment ref="L14" dT="2023-01-26T11:58:32.95" personId="{00000000-0000-0000-0000-000000000000}" id="{F5C0D0CF-25C2-4336-A403-7ABC09D2476B}">
    <text>Der erscheinende Hinweis zur Handeingabe für das Jahr 2030 sollte wieder verschwinden, wenn für 2030 ein Wert größer/gleich dem Wert für 2025 erfolgt ist. Gilt auch für z. B. M5 PV-Anlage und M6</text>
  </threadedComment>
</ThreadedComments>
</file>

<file path=xl/threadedComments/threadedComment2.xml><?xml version="1.0" encoding="utf-8"?>
<ThreadedComments xmlns="http://schemas.microsoft.com/office/spreadsheetml/2018/threadedcomments" xmlns:x="http://schemas.openxmlformats.org/spreadsheetml/2006/main">
  <threadedComment ref="H305" dT="2023-07-27T13:27:42.72" personId="{00000000-0000-0000-0000-000000000000}" id="{68CDA1C8-4F7D-4156-BF2F-784FC8B17E1C}">
    <text>H286 wurde nicht abgezogen. Somit sind die Werte in H287+H288 doppelt erfasst.
Wurde korrigiert.</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ebkontakt@future-camp.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8.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3.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2" Type="http://schemas.openxmlformats.org/officeDocument/2006/relationships/drawing" Target="../drawings/drawing13.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9.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4.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2" Type="http://schemas.openxmlformats.org/officeDocument/2006/relationships/drawing" Target="../drawings/drawing18.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10.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 Type="http://schemas.openxmlformats.org/officeDocument/2006/relationships/vmlDrawing" Target="../drawings/vmlDrawing5.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2" Type="http://schemas.openxmlformats.org/officeDocument/2006/relationships/drawing" Target="../drawings/drawing23.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11.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26" Type="http://schemas.openxmlformats.org/officeDocument/2006/relationships/ctrlProp" Target="../ctrlProps/ctrlProp148.xml"/><Relationship Id="rId3" Type="http://schemas.openxmlformats.org/officeDocument/2006/relationships/vmlDrawing" Target="../drawings/vmlDrawing6.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2" Type="http://schemas.openxmlformats.org/officeDocument/2006/relationships/drawing" Target="../drawings/drawing28.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12.bin"/><Relationship Id="rId6" Type="http://schemas.openxmlformats.org/officeDocument/2006/relationships/ctrlProp" Target="../ctrlProps/ctrlProp128.xml"/><Relationship Id="rId11" Type="http://schemas.openxmlformats.org/officeDocument/2006/relationships/ctrlProp" Target="../ctrlProps/ctrlProp133.xml"/><Relationship Id="rId24" Type="http://schemas.openxmlformats.org/officeDocument/2006/relationships/ctrlProp" Target="../ctrlProps/ctrlProp146.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28" Type="http://schemas.openxmlformats.org/officeDocument/2006/relationships/ctrlProp" Target="../ctrlProps/ctrlProp150.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 Id="rId27" Type="http://schemas.openxmlformats.org/officeDocument/2006/relationships/ctrlProp" Target="../ctrlProps/ctrlProp14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 Type="http://schemas.openxmlformats.org/officeDocument/2006/relationships/vmlDrawing" Target="../drawings/vmlDrawing7.vml"/><Relationship Id="rId21" Type="http://schemas.openxmlformats.org/officeDocument/2006/relationships/ctrlProp" Target="../ctrlProps/ctrlProp168.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2" Type="http://schemas.openxmlformats.org/officeDocument/2006/relationships/drawing" Target="../drawings/drawing33.xml"/><Relationship Id="rId16" Type="http://schemas.openxmlformats.org/officeDocument/2006/relationships/ctrlProp" Target="../ctrlProps/ctrlProp163.xml"/><Relationship Id="rId20" Type="http://schemas.openxmlformats.org/officeDocument/2006/relationships/ctrlProp" Target="../ctrlProps/ctrlProp167.xml"/><Relationship Id="rId29" Type="http://schemas.openxmlformats.org/officeDocument/2006/relationships/ctrlProp" Target="../ctrlProps/ctrlProp176.xml"/><Relationship Id="rId1" Type="http://schemas.openxmlformats.org/officeDocument/2006/relationships/printerSettings" Target="../printerSettings/printerSettings13.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10" Type="http://schemas.openxmlformats.org/officeDocument/2006/relationships/ctrlProp" Target="../ctrlProps/ctrlProp157.xml"/><Relationship Id="rId19" Type="http://schemas.openxmlformats.org/officeDocument/2006/relationships/ctrlProp" Target="../ctrlProps/ctrlProp166.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vmlDrawing" Target="../drawings/vmlDrawing8.v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drawing" Target="../drawings/drawing38.xml"/><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printerSettings" Target="../printerSettings/printerSettings14.bin"/><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microsoft.com/office/2017/10/relationships/threadedComment" Target="../threadedComments/threadedComment2.xml"/><Relationship Id="rId4" Type="http://schemas.openxmlformats.org/officeDocument/2006/relationships/ctrlProp" Target="../ctrlProps/ctrlProp177.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 Type="http://schemas.openxmlformats.org/officeDocument/2006/relationships/vmlDrawing" Target="../drawings/vmlDrawing9.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2" Type="http://schemas.openxmlformats.org/officeDocument/2006/relationships/drawing" Target="../drawings/drawing43.xml"/><Relationship Id="rId16" Type="http://schemas.openxmlformats.org/officeDocument/2006/relationships/ctrlProp" Target="../ctrlProps/ctrlProp215.xml"/><Relationship Id="rId20" Type="http://schemas.openxmlformats.org/officeDocument/2006/relationships/ctrlProp" Target="../ctrlProps/ctrlProp219.xml"/><Relationship Id="rId29" Type="http://schemas.openxmlformats.org/officeDocument/2006/relationships/ctrlProp" Target="../ctrlProps/ctrlProp228.xml"/><Relationship Id="rId1" Type="http://schemas.openxmlformats.org/officeDocument/2006/relationships/printerSettings" Target="../printerSettings/printerSettings15.bin"/><Relationship Id="rId6" Type="http://schemas.openxmlformats.org/officeDocument/2006/relationships/ctrlProp" Target="../ctrlProps/ctrlProp205.xml"/><Relationship Id="rId11" Type="http://schemas.openxmlformats.org/officeDocument/2006/relationships/ctrlProp" Target="../ctrlProps/ctrlProp210.xml"/><Relationship Id="rId24" Type="http://schemas.openxmlformats.org/officeDocument/2006/relationships/ctrlProp" Target="../ctrlProps/ctrlProp223.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s>
</file>

<file path=xl/worksheets/_rels/sheet16.xml.rels><?xml version="1.0" encoding="UTF-8" standalone="yes"?>
<Relationships xmlns="http://schemas.openxmlformats.org/package/2006/relationships"><Relationship Id="rId8" Type="http://schemas.openxmlformats.org/officeDocument/2006/relationships/hyperlink" Target="https://www.umweltbundesamt.de/publikationen/entwicklung-der-spezifischen-kohlendioxid-8" TargetMode="External"/><Relationship Id="rId3" Type="http://schemas.openxmlformats.org/officeDocument/2006/relationships/hyperlink" Target="https://muster-epd.deutsche-bauchemie.de/fileadmin/user_upload/EFCA-model-EPD_plasticisers_superplasticisers_final_2026-12-15.pdf" TargetMode="External"/><Relationship Id="rId7" Type="http://schemas.openxmlformats.org/officeDocument/2006/relationships/hyperlink" Target="https://www.dehst.de/SharedDocs/downloads/DE/stationaere_anlagen/2021-2030/Ueberwachungsplan-Emissionsbericht_Leitfaden.pdf?__blob=publicationFile&amp;v=2" TargetMode="External"/><Relationship Id="rId2" Type="http://schemas.openxmlformats.org/officeDocument/2006/relationships/hyperlink" Target="https://www.rheingas.de/fluessiggas/gastank/der-energietraeger-fluessiggas/umrechner" TargetMode="External"/><Relationship Id="rId1" Type="http://schemas.openxmlformats.org/officeDocument/2006/relationships/hyperlink" Target="https://www-genesis.destatis.de/genesis/online?operation=abruftabelleBearbeiten&amp;levelindex=1&amp;levelid=1662640912503&amp;auswahloperation=abruftabelleAuspraegungAuswaehlen&amp;auswahlverzeichnis=ordnungsstruktur&amp;auswahlziel=werteabruf&amp;code=61243-0011&amp;auswahltext=&amp;werteabruf=starten" TargetMode="External"/><Relationship Id="rId6" Type="http://schemas.openxmlformats.org/officeDocument/2006/relationships/hyperlink" Target="https://muster-epd.deutsche-bauchemie.de/fileadmin/user_upload/EFCA-model-EPD_water-resisting_admixtures_final_2026-12-15.pdf" TargetMode="External"/><Relationship Id="rId5" Type="http://schemas.openxmlformats.org/officeDocument/2006/relationships/hyperlink" Target="https://muster-epd.deutsche-bauchemie.de/fileadmin/user_upload/EFCA-model-EPD_retarders_final_2026-12-15.pdf" TargetMode="External"/><Relationship Id="rId4" Type="http://schemas.openxmlformats.org/officeDocument/2006/relationships/hyperlink" Target="https://muster-epd.deutsche-bauchemie.de/fileadmin/user_upload/EFCA-model-EPD_air_entrainers_final_2026-12-15.pdf" TargetMode="External"/><Relationship Id="rId9"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0863D-2D56-4E3E-9B24-F2095E93961F}">
  <sheetPr>
    <pageSetUpPr fitToPage="1"/>
  </sheetPr>
  <dimension ref="B2:K36"/>
  <sheetViews>
    <sheetView tabSelected="1" zoomScale="90" zoomScaleNormal="90" workbookViewId="0">
      <selection activeCell="D30" sqref="D30"/>
    </sheetView>
  </sheetViews>
  <sheetFormatPr baseColWidth="10" defaultColWidth="9" defaultRowHeight="12.75" x14ac:dyDescent="0.2"/>
  <cols>
    <col min="1" max="2" width="2.5" style="2" customWidth="1"/>
    <col min="3" max="3" width="20.375" style="2" customWidth="1"/>
    <col min="4" max="4" width="22" style="2" customWidth="1"/>
    <col min="5" max="8" width="9" style="2"/>
    <col min="9" max="9" width="39.75" style="2" bestFit="1" customWidth="1"/>
    <col min="10" max="10" width="16.5" style="2" customWidth="1"/>
    <col min="11" max="16384" width="9" style="2"/>
  </cols>
  <sheetData>
    <row r="2" spans="2:11" x14ac:dyDescent="0.2">
      <c r="B2" s="3"/>
      <c r="C2" s="3"/>
      <c r="D2" s="3"/>
      <c r="E2" s="3"/>
      <c r="F2" s="3"/>
      <c r="G2" s="3"/>
      <c r="H2" s="3"/>
      <c r="I2" s="3"/>
      <c r="J2" s="3"/>
      <c r="K2" s="3"/>
    </row>
    <row r="3" spans="2:11" x14ac:dyDescent="0.2">
      <c r="B3" s="3"/>
      <c r="C3" s="3"/>
      <c r="D3" s="3"/>
      <c r="E3" s="3"/>
      <c r="F3" s="3"/>
      <c r="G3" s="3"/>
      <c r="H3" s="3"/>
      <c r="I3" s="3"/>
      <c r="J3" s="3"/>
      <c r="K3" s="3"/>
    </row>
    <row r="4" spans="2:11" x14ac:dyDescent="0.2">
      <c r="B4" s="3"/>
      <c r="C4" s="3"/>
      <c r="D4" s="3"/>
      <c r="E4" s="3"/>
      <c r="F4" s="3"/>
      <c r="G4" s="3"/>
      <c r="H4" s="3"/>
      <c r="I4" s="3"/>
      <c r="J4" s="3"/>
      <c r="K4" s="3"/>
    </row>
    <row r="5" spans="2:11" x14ac:dyDescent="0.2">
      <c r="B5" s="3"/>
      <c r="C5" s="3"/>
      <c r="D5" s="3"/>
      <c r="E5" s="3"/>
      <c r="F5" s="3"/>
      <c r="G5" s="3"/>
      <c r="H5" s="3"/>
      <c r="I5" s="3"/>
      <c r="J5" s="3"/>
      <c r="K5" s="3"/>
    </row>
    <row r="6" spans="2:11" x14ac:dyDescent="0.2">
      <c r="B6" s="3"/>
      <c r="C6" s="3"/>
      <c r="D6" s="3"/>
      <c r="E6" s="3"/>
      <c r="F6" s="3"/>
      <c r="G6" s="3"/>
      <c r="H6" s="3"/>
      <c r="I6" s="3"/>
      <c r="J6" s="3"/>
      <c r="K6" s="3"/>
    </row>
    <row r="7" spans="2:11" x14ac:dyDescent="0.2">
      <c r="B7" s="3"/>
      <c r="C7" s="3"/>
      <c r="D7" s="3"/>
      <c r="E7" s="3"/>
      <c r="F7" s="3"/>
      <c r="G7" s="3"/>
      <c r="H7" s="3"/>
      <c r="I7" s="3"/>
      <c r="J7" s="3"/>
      <c r="K7" s="3"/>
    </row>
    <row r="8" spans="2:11" x14ac:dyDescent="0.2">
      <c r="B8" s="3"/>
      <c r="C8" s="3"/>
      <c r="D8" s="3"/>
      <c r="E8" s="3"/>
      <c r="F8" s="3"/>
      <c r="G8" s="3"/>
      <c r="H8" s="3"/>
      <c r="I8" s="3"/>
      <c r="J8" s="3"/>
      <c r="K8" s="3"/>
    </row>
    <row r="9" spans="2:11" ht="15.75" x14ac:dyDescent="0.25">
      <c r="B9" s="3"/>
      <c r="C9" s="85" t="s">
        <v>0</v>
      </c>
      <c r="D9" s="3"/>
      <c r="E9" s="3"/>
      <c r="F9" s="3"/>
      <c r="G9" s="3"/>
      <c r="H9" s="3"/>
      <c r="I9" s="3"/>
      <c r="J9" s="3"/>
      <c r="K9" s="3"/>
    </row>
    <row r="10" spans="2:11" ht="15" x14ac:dyDescent="0.2">
      <c r="B10" s="3"/>
      <c r="C10" s="86"/>
      <c r="D10" s="3"/>
      <c r="E10" s="3"/>
      <c r="F10" s="3"/>
      <c r="G10" s="3"/>
      <c r="H10" s="3"/>
      <c r="I10" s="3"/>
      <c r="J10" s="3"/>
      <c r="K10" s="3"/>
    </row>
    <row r="11" spans="2:11" ht="15.75" x14ac:dyDescent="0.25">
      <c r="B11" s="3"/>
      <c r="C11" s="85" t="s">
        <v>30</v>
      </c>
      <c r="D11" s="3"/>
      <c r="E11" s="3"/>
      <c r="F11" s="3"/>
      <c r="G11" s="3"/>
      <c r="H11" s="3"/>
      <c r="I11" s="3"/>
      <c r="J11" s="3"/>
      <c r="K11" s="3"/>
    </row>
    <row r="12" spans="2:11" ht="15.75" x14ac:dyDescent="0.25">
      <c r="B12" s="3"/>
      <c r="C12" s="87"/>
      <c r="D12" s="88"/>
      <c r="E12" s="88"/>
      <c r="F12" s="88"/>
      <c r="G12" s="88"/>
      <c r="H12" s="88"/>
      <c r="I12" s="88"/>
      <c r="J12" s="88"/>
      <c r="K12" s="3"/>
    </row>
    <row r="13" spans="2:11" x14ac:dyDescent="0.2">
      <c r="B13" s="3"/>
      <c r="C13" s="3"/>
      <c r="D13" s="3"/>
      <c r="E13" s="3"/>
      <c r="F13" s="3"/>
      <c r="G13" s="3"/>
      <c r="H13" s="3"/>
      <c r="I13" s="3"/>
      <c r="J13" s="3"/>
      <c r="K13" s="3"/>
    </row>
    <row r="14" spans="2:11" x14ac:dyDescent="0.2">
      <c r="B14" s="3"/>
      <c r="C14" s="3" t="s">
        <v>177</v>
      </c>
      <c r="D14" s="3"/>
      <c r="E14" s="3"/>
      <c r="F14" s="3"/>
      <c r="G14" s="3"/>
      <c r="H14" s="3"/>
      <c r="I14" s="3"/>
      <c r="J14" s="3"/>
      <c r="K14" s="3"/>
    </row>
    <row r="15" spans="2:11" x14ac:dyDescent="0.2">
      <c r="B15" s="3"/>
      <c r="C15" s="3"/>
      <c r="D15" s="3"/>
      <c r="E15" s="3"/>
      <c r="F15" s="3"/>
      <c r="G15" s="3"/>
      <c r="H15" s="3"/>
      <c r="I15" s="3"/>
      <c r="J15" s="3"/>
      <c r="K15" s="3"/>
    </row>
    <row r="16" spans="2:11" x14ac:dyDescent="0.2">
      <c r="B16" s="3"/>
      <c r="C16" s="3" t="s">
        <v>1</v>
      </c>
      <c r="D16" s="3" t="s">
        <v>2</v>
      </c>
      <c r="E16" s="3"/>
      <c r="F16" s="3"/>
      <c r="G16" s="3" t="s">
        <v>12</v>
      </c>
      <c r="H16" s="3"/>
      <c r="I16" s="3" t="s">
        <v>16</v>
      </c>
      <c r="J16" s="3"/>
      <c r="K16" s="3"/>
    </row>
    <row r="17" spans="2:11" x14ac:dyDescent="0.2">
      <c r="B17" s="3"/>
      <c r="C17" s="3"/>
      <c r="D17" s="3" t="s">
        <v>3</v>
      </c>
      <c r="E17" s="3"/>
      <c r="F17" s="3"/>
      <c r="G17" s="3"/>
      <c r="H17" s="3"/>
      <c r="I17" s="3" t="s">
        <v>17</v>
      </c>
      <c r="J17" s="3"/>
      <c r="K17" s="3"/>
    </row>
    <row r="18" spans="2:11" x14ac:dyDescent="0.2">
      <c r="B18" s="3"/>
      <c r="C18" s="3"/>
      <c r="D18" s="3" t="s">
        <v>4</v>
      </c>
      <c r="E18" s="3"/>
      <c r="F18" s="3"/>
      <c r="G18" s="3"/>
      <c r="H18" s="3"/>
      <c r="I18" s="3" t="s">
        <v>18</v>
      </c>
      <c r="J18" s="3"/>
      <c r="K18" s="3"/>
    </row>
    <row r="19" spans="2:11" x14ac:dyDescent="0.2">
      <c r="B19" s="3"/>
      <c r="C19" s="3"/>
      <c r="D19" s="3" t="s">
        <v>5</v>
      </c>
      <c r="E19" s="3"/>
      <c r="F19" s="3"/>
      <c r="G19" s="3"/>
      <c r="H19" s="3"/>
      <c r="I19" s="3"/>
      <c r="J19" s="3"/>
      <c r="K19" s="3"/>
    </row>
    <row r="20" spans="2:11" x14ac:dyDescent="0.2">
      <c r="B20" s="3"/>
      <c r="C20" s="3"/>
      <c r="D20" s="3"/>
      <c r="E20" s="3"/>
      <c r="F20" s="3"/>
      <c r="G20" s="3"/>
      <c r="H20" s="3"/>
      <c r="I20" s="3"/>
      <c r="J20" s="3"/>
      <c r="K20" s="3"/>
    </row>
    <row r="21" spans="2:11" x14ac:dyDescent="0.2">
      <c r="B21" s="3"/>
      <c r="C21" s="3"/>
      <c r="D21" s="3" t="s">
        <v>175</v>
      </c>
      <c r="E21" s="3"/>
      <c r="F21" s="3"/>
      <c r="G21" s="3" t="s">
        <v>13</v>
      </c>
      <c r="H21" s="3"/>
      <c r="I21" s="3" t="s">
        <v>19</v>
      </c>
      <c r="J21" s="3"/>
      <c r="K21" s="3"/>
    </row>
    <row r="22" spans="2:11" x14ac:dyDescent="0.2">
      <c r="B22" s="3"/>
      <c r="C22" s="3"/>
      <c r="D22" s="3" t="s">
        <v>176</v>
      </c>
      <c r="E22" s="3"/>
      <c r="F22" s="3"/>
      <c r="G22" s="3" t="s">
        <v>14</v>
      </c>
      <c r="H22" s="3"/>
      <c r="I22" s="3" t="s">
        <v>19</v>
      </c>
      <c r="J22" s="3"/>
      <c r="K22" s="3"/>
    </row>
    <row r="23" spans="2:11" x14ac:dyDescent="0.2">
      <c r="B23" s="3"/>
      <c r="C23" s="3"/>
      <c r="D23" s="3"/>
      <c r="E23" s="3"/>
      <c r="F23" s="3"/>
      <c r="G23" s="3"/>
      <c r="H23" s="3"/>
      <c r="I23" s="3"/>
      <c r="J23" s="3"/>
      <c r="K23" s="3"/>
    </row>
    <row r="24" spans="2:11" x14ac:dyDescent="0.2">
      <c r="B24" s="3"/>
      <c r="C24" s="3"/>
      <c r="D24" s="3"/>
      <c r="E24" s="3"/>
      <c r="F24" s="3"/>
      <c r="G24" s="3"/>
      <c r="H24" s="3"/>
      <c r="I24" s="3"/>
      <c r="J24" s="3"/>
      <c r="K24" s="3"/>
    </row>
    <row r="25" spans="2:11" x14ac:dyDescent="0.2">
      <c r="B25" s="3"/>
      <c r="C25" s="3" t="s">
        <v>451</v>
      </c>
      <c r="D25" s="3" t="s">
        <v>11</v>
      </c>
      <c r="E25" s="3"/>
      <c r="F25" s="3"/>
      <c r="G25" s="3" t="s">
        <v>15</v>
      </c>
      <c r="H25" s="3"/>
      <c r="I25" s="3" t="s">
        <v>2</v>
      </c>
      <c r="J25" s="3"/>
      <c r="K25" s="3"/>
    </row>
    <row r="26" spans="2:11" x14ac:dyDescent="0.2">
      <c r="B26" s="3"/>
      <c r="C26" s="3"/>
      <c r="D26" s="3"/>
      <c r="E26" s="3"/>
      <c r="F26" s="3"/>
      <c r="G26" s="3"/>
      <c r="H26" s="3"/>
      <c r="I26" s="3"/>
      <c r="J26" s="3"/>
      <c r="K26" s="3"/>
    </row>
    <row r="27" spans="2:11" x14ac:dyDescent="0.2">
      <c r="B27" s="3"/>
      <c r="C27" s="88"/>
      <c r="D27" s="88"/>
      <c r="E27" s="88"/>
      <c r="F27" s="88"/>
      <c r="G27" s="88"/>
      <c r="H27" s="88"/>
      <c r="I27" s="88"/>
      <c r="J27" s="88"/>
      <c r="K27" s="3"/>
    </row>
    <row r="28" spans="2:11" x14ac:dyDescent="0.2">
      <c r="B28" s="3"/>
      <c r="C28" s="3"/>
      <c r="D28" s="3"/>
      <c r="E28" s="3"/>
      <c r="F28" s="3"/>
      <c r="G28" s="3"/>
      <c r="H28" s="3"/>
      <c r="I28" s="3"/>
      <c r="J28" s="3"/>
      <c r="K28" s="3"/>
    </row>
    <row r="29" spans="2:11" x14ac:dyDescent="0.2">
      <c r="B29" s="3"/>
      <c r="C29" s="3" t="s">
        <v>6</v>
      </c>
      <c r="D29" s="4">
        <v>45012</v>
      </c>
      <c r="E29" s="3"/>
      <c r="F29" s="3"/>
      <c r="G29" s="3" t="s">
        <v>173</v>
      </c>
      <c r="H29" s="3"/>
      <c r="I29" s="3"/>
      <c r="J29" s="3"/>
      <c r="K29" s="3"/>
    </row>
    <row r="30" spans="2:11" x14ac:dyDescent="0.2">
      <c r="B30" s="3"/>
      <c r="C30" s="3" t="s">
        <v>7</v>
      </c>
      <c r="D30" s="5" t="s">
        <v>8</v>
      </c>
      <c r="E30" s="3"/>
      <c r="F30" s="3"/>
      <c r="G30" s="3" t="s">
        <v>174</v>
      </c>
      <c r="H30" s="3"/>
      <c r="I30" s="3"/>
      <c r="J30" s="3"/>
      <c r="K30" s="3"/>
    </row>
    <row r="31" spans="2:11" x14ac:dyDescent="0.2">
      <c r="B31" s="3"/>
      <c r="C31" s="3"/>
      <c r="D31" s="5"/>
      <c r="E31" s="3"/>
      <c r="F31" s="3"/>
      <c r="G31" s="3"/>
      <c r="H31" s="3"/>
      <c r="I31" s="3"/>
      <c r="J31" s="3"/>
      <c r="K31" s="3"/>
    </row>
    <row r="32" spans="2:11" x14ac:dyDescent="0.2">
      <c r="B32" s="3"/>
      <c r="C32" s="3" t="s">
        <v>9</v>
      </c>
      <c r="D32" s="5" t="s">
        <v>10</v>
      </c>
      <c r="E32" s="3"/>
      <c r="F32" s="3"/>
      <c r="G32" s="3"/>
      <c r="H32" s="3"/>
      <c r="I32" s="3"/>
      <c r="J32" s="3"/>
      <c r="K32" s="3"/>
    </row>
    <row r="33" spans="2:11" x14ac:dyDescent="0.2">
      <c r="B33" s="3"/>
      <c r="C33" s="3"/>
      <c r="D33" s="3"/>
      <c r="E33" s="3"/>
      <c r="F33" s="3"/>
      <c r="G33" s="3" t="s">
        <v>444</v>
      </c>
      <c r="H33" s="3"/>
      <c r="I33" s="3" t="s">
        <v>446</v>
      </c>
      <c r="J33" s="3"/>
      <c r="K33" s="3"/>
    </row>
    <row r="34" spans="2:11" x14ac:dyDescent="0.2">
      <c r="B34" s="3"/>
      <c r="C34" s="3"/>
      <c r="D34" s="3"/>
      <c r="E34" s="3"/>
      <c r="F34" s="3"/>
      <c r="G34" s="3"/>
      <c r="H34" s="3"/>
      <c r="I34" s="3" t="s">
        <v>447</v>
      </c>
      <c r="J34" s="3"/>
      <c r="K34" s="3"/>
    </row>
    <row r="35" spans="2:11" x14ac:dyDescent="0.2">
      <c r="B35" s="3"/>
      <c r="C35" s="3"/>
      <c r="D35" s="3"/>
      <c r="E35" s="3"/>
      <c r="F35" s="3"/>
      <c r="G35" s="3"/>
      <c r="H35" s="3"/>
      <c r="I35" s="3" t="s">
        <v>445</v>
      </c>
      <c r="J35" s="3"/>
      <c r="K35" s="3"/>
    </row>
    <row r="36" spans="2:11" x14ac:dyDescent="0.2">
      <c r="B36" s="3"/>
      <c r="C36" s="3"/>
      <c r="D36" s="3"/>
      <c r="E36" s="3"/>
      <c r="F36" s="3"/>
      <c r="G36" s="3"/>
      <c r="H36" s="3"/>
      <c r="I36" s="3"/>
      <c r="J36" s="3"/>
      <c r="K36" s="3"/>
    </row>
  </sheetData>
  <sheetProtection algorithmName="SHA-512" hashValue="1O8yzOrR7wRQqeTXn0QForZV8HIsU9gAUTKnp3mMWbRPI1JeJGJjb57C3UFUYstOCW+wFo3NZ7swhrylV6JIIQ==" saltValue="45gGJco4eMnqZ/sWqeb4Ig==" spinCount="100000" sheet="1" objects="1" scenarios="1" selectLockedCells="1"/>
  <hyperlinks>
    <hyperlink ref="D32" r:id="rId1" xr:uid="{05DF6F83-879A-4718-A8CB-73FCB51EAC06}"/>
  </hyperlinks>
  <printOptions horizontalCentered="1"/>
  <pageMargins left="0.39370078740157483" right="0.39370078740157483" top="0.39370078740157483" bottom="0.59055118110236227" header="0.19685039370078741" footer="0.19685039370078741"/>
  <pageSetup paperSize="9" orientation="landscape" verticalDpi="601"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EAEA-DC4F-41F5-A123-E0E22079813B}">
  <sheetPr>
    <pageSetUpPr fitToPage="1"/>
  </sheetPr>
  <dimension ref="B3:AG90"/>
  <sheetViews>
    <sheetView zoomScale="90" zoomScaleNormal="90" workbookViewId="0">
      <pane ySplit="14" topLeftCell="A50" activePane="bottomLeft" state="frozen"/>
      <selection pane="bottomLeft" activeCell="AA10" sqref="AA10"/>
    </sheetView>
  </sheetViews>
  <sheetFormatPr baseColWidth="10" defaultColWidth="9" defaultRowHeight="12.75" outlineLevelRow="1" x14ac:dyDescent="0.2"/>
  <cols>
    <col min="1" max="1" width="3.5" style="6" customWidth="1"/>
    <col min="2" max="2" width="3.75" style="6" customWidth="1"/>
    <col min="3" max="3" width="13.625" style="6" customWidth="1"/>
    <col min="4" max="4" width="25.25" style="6" customWidth="1"/>
    <col min="5" max="5" width="26.5" style="6" customWidth="1"/>
    <col min="6" max="6" width="16.25" style="6" customWidth="1"/>
    <col min="7" max="7" width="16.25" style="6" bestFit="1" customWidth="1"/>
    <col min="8" max="8" width="2" style="6" customWidth="1"/>
    <col min="9" max="9" width="17" style="6" customWidth="1"/>
    <col min="10" max="10" width="16.375" style="6" customWidth="1"/>
    <col min="11" max="11" width="21.375" style="6" customWidth="1"/>
    <col min="12" max="12" width="3.75" style="6" customWidth="1"/>
    <col min="13" max="13" width="4.125" style="6" customWidth="1"/>
    <col min="14" max="14" width="3.75" style="6" customWidth="1"/>
    <col min="15" max="15" width="34.625" style="6" customWidth="1"/>
    <col min="16" max="16" width="1.375" style="6" customWidth="1"/>
    <col min="17" max="19" width="9" style="6"/>
    <col min="20" max="20" width="3.125" style="6" customWidth="1"/>
    <col min="21" max="21" width="11.875" style="6" customWidth="1"/>
    <col min="22" max="22" width="10.875" style="6" customWidth="1"/>
    <col min="23" max="23" width="10.5" style="6" customWidth="1"/>
    <col min="24" max="24" width="3.75" style="6" customWidth="1"/>
    <col min="25" max="25" width="4.125" style="6" customWidth="1"/>
    <col min="26" max="26" width="3.75" style="6" customWidth="1"/>
    <col min="27" max="27" width="29.875" style="6" bestFit="1" customWidth="1"/>
    <col min="28" max="28" width="10.875" style="6" bestFit="1" customWidth="1"/>
    <col min="29" max="29" width="6.625" style="6" customWidth="1"/>
    <col min="30" max="16384" width="9" style="6"/>
  </cols>
  <sheetData>
    <row r="3" spans="2:33" x14ac:dyDescent="0.2">
      <c r="B3" s="3"/>
      <c r="C3" s="3"/>
      <c r="D3" s="3"/>
      <c r="E3" s="3"/>
      <c r="F3" s="3"/>
      <c r="G3" s="3"/>
      <c r="H3" s="3"/>
      <c r="I3" s="3"/>
      <c r="J3" s="3"/>
      <c r="K3" s="3"/>
      <c r="L3" s="3"/>
    </row>
    <row r="4" spans="2:33" ht="15.75" x14ac:dyDescent="0.25">
      <c r="B4" s="3"/>
      <c r="C4" s="118" t="s">
        <v>76</v>
      </c>
      <c r="D4" s="3"/>
      <c r="E4" s="3"/>
      <c r="F4" s="3"/>
      <c r="G4" s="3"/>
      <c r="H4" s="3"/>
      <c r="I4" s="3"/>
      <c r="J4" s="3"/>
      <c r="K4" s="3"/>
      <c r="L4" s="3"/>
    </row>
    <row r="5" spans="2:33" ht="23.25" customHeight="1" x14ac:dyDescent="0.2">
      <c r="B5" s="3"/>
      <c r="C5" s="3"/>
      <c r="D5" s="3"/>
      <c r="E5" s="3"/>
      <c r="F5" s="374" t="s">
        <v>459</v>
      </c>
      <c r="G5" s="374"/>
      <c r="H5" s="374"/>
      <c r="I5" s="374"/>
      <c r="J5" s="374"/>
      <c r="K5" s="374"/>
      <c r="L5" s="3"/>
    </row>
    <row r="6" spans="2:33" x14ac:dyDescent="0.2">
      <c r="B6" s="3"/>
      <c r="C6" s="3" t="s">
        <v>276</v>
      </c>
      <c r="D6" s="113"/>
      <c r="E6" s="3"/>
      <c r="F6" s="3"/>
      <c r="G6" s="3"/>
      <c r="H6" s="3"/>
      <c r="I6" s="3"/>
      <c r="J6" s="3"/>
      <c r="K6" s="3"/>
      <c r="L6" s="3"/>
    </row>
    <row r="7" spans="2:33" x14ac:dyDescent="0.2">
      <c r="B7" s="3"/>
      <c r="C7" s="3" t="s">
        <v>277</v>
      </c>
      <c r="D7" s="113"/>
      <c r="E7" s="3"/>
      <c r="F7" s="3"/>
      <c r="G7" s="3"/>
      <c r="H7" s="3"/>
      <c r="I7" s="3"/>
      <c r="J7" s="3"/>
      <c r="K7" s="3"/>
      <c r="L7" s="3"/>
    </row>
    <row r="8" spans="2:33" x14ac:dyDescent="0.2">
      <c r="B8" s="3"/>
      <c r="C8" s="3" t="s">
        <v>278</v>
      </c>
      <c r="D8" s="113"/>
      <c r="E8" s="3"/>
      <c r="F8" s="3"/>
      <c r="G8" s="3"/>
      <c r="H8" s="3"/>
      <c r="I8" s="3"/>
      <c r="J8" s="3"/>
      <c r="K8" s="3"/>
      <c r="L8" s="3"/>
      <c r="N8" s="3"/>
      <c r="O8" s="3"/>
      <c r="P8" s="3"/>
      <c r="Q8" s="3"/>
      <c r="R8" s="3"/>
      <c r="S8" s="3"/>
      <c r="T8" s="3"/>
      <c r="U8" s="3"/>
      <c r="V8" s="3"/>
      <c r="W8" s="3"/>
      <c r="X8" s="3"/>
      <c r="Z8" s="3"/>
      <c r="AA8" s="3"/>
      <c r="AB8" s="3"/>
      <c r="AC8" s="3"/>
      <c r="AD8" s="3"/>
    </row>
    <row r="9" spans="2:33" x14ac:dyDescent="0.2">
      <c r="B9" s="3"/>
      <c r="C9" s="3"/>
      <c r="D9" s="3"/>
      <c r="E9" s="3"/>
      <c r="F9" s="3"/>
      <c r="G9" s="3"/>
      <c r="H9" s="3"/>
      <c r="I9" s="3"/>
      <c r="J9" s="3"/>
      <c r="K9" s="3"/>
      <c r="L9" s="3"/>
      <c r="N9" s="3"/>
      <c r="O9" s="3"/>
      <c r="P9" s="3"/>
      <c r="Q9" s="3"/>
      <c r="R9" s="3"/>
      <c r="S9" s="3"/>
      <c r="T9" s="3"/>
      <c r="U9" s="3"/>
      <c r="V9" s="3"/>
      <c r="W9" s="3"/>
      <c r="X9" s="3"/>
      <c r="Z9" s="3"/>
      <c r="AA9" s="3"/>
      <c r="AB9" s="3"/>
      <c r="AC9" s="3"/>
      <c r="AD9" s="3"/>
    </row>
    <row r="10" spans="2:33" ht="15" x14ac:dyDescent="0.25">
      <c r="B10" s="3"/>
      <c r="C10" s="3"/>
      <c r="D10" s="3"/>
      <c r="E10" s="3"/>
      <c r="F10" s="3"/>
      <c r="G10" s="3"/>
      <c r="H10" s="3"/>
      <c r="I10" s="3"/>
      <c r="J10" s="3"/>
      <c r="K10" s="3"/>
      <c r="L10" s="3"/>
      <c r="N10" s="3"/>
      <c r="O10" s="373" t="s">
        <v>322</v>
      </c>
      <c r="P10" s="3"/>
      <c r="Q10" s="3"/>
      <c r="R10" s="3"/>
      <c r="S10" s="3"/>
      <c r="T10" s="3"/>
      <c r="U10" s="3"/>
      <c r="V10" s="3"/>
      <c r="W10" s="3"/>
      <c r="X10" s="3"/>
      <c r="Z10" s="3"/>
      <c r="AA10" s="373" t="s">
        <v>136</v>
      </c>
      <c r="AB10" s="3"/>
      <c r="AC10" s="3"/>
      <c r="AD10" s="3"/>
    </row>
    <row r="11" spans="2:33" x14ac:dyDescent="0.2">
      <c r="B11" s="3"/>
      <c r="C11" s="3"/>
      <c r="D11" s="3"/>
      <c r="E11" s="3"/>
      <c r="F11" s="119" t="s">
        <v>325</v>
      </c>
      <c r="G11" s="119"/>
      <c r="H11" s="120"/>
      <c r="I11" s="120" t="s">
        <v>80</v>
      </c>
      <c r="J11" s="3"/>
      <c r="K11" s="3"/>
      <c r="L11" s="3"/>
      <c r="N11" s="3"/>
      <c r="O11" s="3"/>
      <c r="P11" s="3"/>
      <c r="Q11" s="3"/>
      <c r="R11" s="3"/>
      <c r="S11" s="3"/>
      <c r="T11" s="3"/>
      <c r="U11" s="3"/>
      <c r="V11" s="3"/>
      <c r="W11" s="3"/>
      <c r="X11" s="3"/>
      <c r="Z11" s="3"/>
      <c r="AA11" s="3"/>
      <c r="AB11" s="3"/>
      <c r="AC11" s="3"/>
      <c r="AD11" s="3"/>
    </row>
    <row r="12" spans="2:33" x14ac:dyDescent="0.2">
      <c r="B12" s="3"/>
      <c r="C12" s="3"/>
      <c r="D12" s="3"/>
      <c r="E12" s="13" t="s">
        <v>86</v>
      </c>
      <c r="F12" s="121">
        <v>100000</v>
      </c>
      <c r="G12" s="121" t="s">
        <v>49</v>
      </c>
      <c r="H12" s="3"/>
      <c r="I12" s="113"/>
      <c r="J12" s="3" t="s">
        <v>49</v>
      </c>
      <c r="K12" s="3"/>
      <c r="L12" s="3"/>
      <c r="N12" s="3"/>
      <c r="O12" s="3"/>
      <c r="P12" s="3"/>
      <c r="Q12" s="3"/>
      <c r="R12" s="3"/>
      <c r="S12" s="3"/>
      <c r="T12" s="3"/>
      <c r="U12" s="3"/>
      <c r="V12" s="3"/>
      <c r="W12" s="3"/>
      <c r="X12" s="3"/>
      <c r="Z12" s="3"/>
      <c r="AA12" s="3"/>
      <c r="AB12" s="3"/>
      <c r="AC12" s="3"/>
      <c r="AD12" s="3"/>
    </row>
    <row r="13" spans="2:33" x14ac:dyDescent="0.2">
      <c r="B13" s="3"/>
      <c r="C13" s="3"/>
      <c r="D13" s="3"/>
      <c r="E13" s="3"/>
      <c r="F13" s="3"/>
      <c r="G13" s="3"/>
      <c r="H13" s="3"/>
      <c r="I13" s="3"/>
      <c r="J13" s="3"/>
      <c r="K13" s="3"/>
      <c r="L13" s="3"/>
      <c r="N13" s="3"/>
      <c r="O13" s="3"/>
      <c r="P13" s="3"/>
      <c r="Q13" s="3"/>
      <c r="R13" s="3"/>
      <c r="S13" s="3"/>
      <c r="T13" s="3"/>
      <c r="U13" s="3"/>
      <c r="V13" s="3"/>
      <c r="W13" s="3"/>
      <c r="X13" s="3"/>
      <c r="Z13" s="3"/>
      <c r="AA13" s="3"/>
      <c r="AB13" s="3"/>
      <c r="AC13" s="3"/>
      <c r="AD13" s="3"/>
    </row>
    <row r="14" spans="2:33" s="127" customFormat="1" ht="38.25" x14ac:dyDescent="0.2">
      <c r="B14" s="122"/>
      <c r="C14" s="24"/>
      <c r="D14" s="123"/>
      <c r="E14" s="50" t="s">
        <v>75</v>
      </c>
      <c r="F14" s="124" t="s">
        <v>82</v>
      </c>
      <c r="G14" s="125" t="s">
        <v>21</v>
      </c>
      <c r="H14" s="126"/>
      <c r="I14" s="126" t="s">
        <v>81</v>
      </c>
      <c r="J14" s="50" t="s">
        <v>21</v>
      </c>
      <c r="K14" s="50" t="s">
        <v>285</v>
      </c>
      <c r="L14" s="122"/>
      <c r="N14" s="122"/>
      <c r="O14" s="24"/>
      <c r="P14" s="24"/>
      <c r="Q14" s="128" t="s">
        <v>27</v>
      </c>
      <c r="R14" s="128" t="s">
        <v>28</v>
      </c>
      <c r="S14" s="128" t="s">
        <v>29</v>
      </c>
      <c r="T14" s="128"/>
      <c r="U14" s="50" t="s">
        <v>91</v>
      </c>
      <c r="V14" s="129" t="s">
        <v>40</v>
      </c>
      <c r="W14" s="50"/>
      <c r="X14" s="122"/>
      <c r="Z14" s="122"/>
      <c r="AA14" s="123"/>
      <c r="AB14" s="123"/>
      <c r="AC14" s="123"/>
      <c r="AD14" s="122"/>
      <c r="AE14" s="6"/>
      <c r="AF14" s="6"/>
      <c r="AG14" s="6"/>
    </row>
    <row r="15" spans="2:33" s="127" customFormat="1" ht="14.25" x14ac:dyDescent="0.25">
      <c r="B15" s="122"/>
      <c r="C15" s="8" t="s">
        <v>79</v>
      </c>
      <c r="D15" s="122"/>
      <c r="E15" s="12"/>
      <c r="F15" s="130"/>
      <c r="G15" s="131"/>
      <c r="H15" s="132"/>
      <c r="I15" s="132"/>
      <c r="J15" s="12"/>
      <c r="K15" s="122"/>
      <c r="L15" s="122"/>
      <c r="N15" s="122"/>
      <c r="O15" s="133" t="s">
        <v>191</v>
      </c>
      <c r="P15" s="133"/>
      <c r="Q15" s="134">
        <f>SUM(Q16:Q29)</f>
        <v>106.60088015999999</v>
      </c>
      <c r="R15" s="134">
        <f>SUM(R16:R29)</f>
        <v>286.5</v>
      </c>
      <c r="S15" s="134">
        <f>SUM(S16:S29)</f>
        <v>60.712972560000004</v>
      </c>
      <c r="T15" s="135"/>
      <c r="U15" s="136">
        <f>Q15+R15</f>
        <v>393.10088015999997</v>
      </c>
      <c r="V15" s="136">
        <f>SUM(Q15:S15)</f>
        <v>453.81385272</v>
      </c>
      <c r="W15" s="133" t="s">
        <v>165</v>
      </c>
      <c r="X15" s="122"/>
      <c r="Z15" s="122"/>
      <c r="AA15" s="133" t="s">
        <v>122</v>
      </c>
      <c r="AB15" s="137">
        <f>SUM(AB16:AB22)</f>
        <v>172669</v>
      </c>
      <c r="AC15" s="133" t="s">
        <v>109</v>
      </c>
      <c r="AD15" s="122"/>
      <c r="AE15" s="6"/>
      <c r="AF15" s="6"/>
      <c r="AG15" s="6"/>
    </row>
    <row r="16" spans="2:33" ht="15.75" x14ac:dyDescent="0.3">
      <c r="B16" s="3"/>
      <c r="C16" s="138"/>
      <c r="D16" s="3" t="s">
        <v>74</v>
      </c>
      <c r="E16" s="3" t="s">
        <v>32</v>
      </c>
      <c r="F16" s="121">
        <f>45000*0.2</f>
        <v>9000</v>
      </c>
      <c r="G16" s="139" t="s">
        <v>41</v>
      </c>
      <c r="H16" s="9"/>
      <c r="I16" s="113"/>
      <c r="J16" s="3" t="s">
        <v>41</v>
      </c>
      <c r="K16" s="3"/>
      <c r="L16" s="3"/>
      <c r="N16" s="3"/>
      <c r="O16" s="3" t="str">
        <f>E16</f>
        <v>Erdgas</v>
      </c>
      <c r="P16" s="3"/>
      <c r="Q16" s="9">
        <f>IF(NOT(ISBLANK($I16)),$I16,$F16)*IF(NOT(ISBLANK('Eingabe EF'!$I9)),'Eingabe EF'!$I9,'Eingabe EF'!$G9)</f>
        <v>1.6484399999999999</v>
      </c>
      <c r="R16" s="9">
        <f>IF(NOT(ISBLANK($I16)),$I16,$F16)*IF(NOT(ISBLANK('Eingabe EF'!$M9)),'Eingabe EF'!$M9,'Eingabe EF'!$K9)</f>
        <v>0</v>
      </c>
      <c r="S16" s="9">
        <f>IF(NOT(ISBLANK($I16)),$I16,$F16)*IF(NOT(ISBLANK('Eingabe EF'!$Q9)),'Eingabe EF'!$Q9,'Eingabe EF'!$O9)</f>
        <v>0.28215000000000001</v>
      </c>
      <c r="T16" s="3"/>
      <c r="U16" s="9">
        <f>Q16+R16</f>
        <v>1.6484399999999999</v>
      </c>
      <c r="V16" s="9">
        <f>SUM(Q16:S16)</f>
        <v>1.93059</v>
      </c>
      <c r="W16" s="3" t="s">
        <v>164</v>
      </c>
      <c r="X16" s="3"/>
      <c r="Z16" s="3"/>
      <c r="AA16" s="3" t="s">
        <v>32</v>
      </c>
      <c r="AB16" s="16">
        <f>(IF(NOT(ISBLANK($I16)),$I16,$F16)+IF(NOT(ISBLANK($I21)),$I21,$F21))/1000*IF(NOT(ISBLANK('Eingabe Preise'!$G10)),'Eingabe Preise'!$G10,'Eingabe Preise'!$E10)</f>
        <v>2745</v>
      </c>
      <c r="AC16" s="3" t="s">
        <v>109</v>
      </c>
      <c r="AD16" s="3"/>
    </row>
    <row r="17" spans="2:30" ht="15.75" x14ac:dyDescent="0.3">
      <c r="B17" s="3"/>
      <c r="C17" s="138"/>
      <c r="D17" s="3"/>
      <c r="E17" s="3" t="s">
        <v>33</v>
      </c>
      <c r="F17" s="121">
        <f>10000*0.2</f>
        <v>2000</v>
      </c>
      <c r="G17" s="139" t="s">
        <v>44</v>
      </c>
      <c r="H17" s="9"/>
      <c r="I17" s="113"/>
      <c r="J17" s="3" t="s">
        <v>44</v>
      </c>
      <c r="K17" s="3"/>
      <c r="L17" s="3"/>
      <c r="N17" s="3"/>
      <c r="O17" s="3" t="str">
        <f>E17</f>
        <v>Heizöl</v>
      </c>
      <c r="P17" s="3"/>
      <c r="Q17" s="9">
        <f>IF(NOT(ISBLANK($I17)),$I17,$F17)*IF(NOT(ISBLANK('Eingabe EF'!$I10)),'Eingabe EF'!$I10,'Eingabe EF'!$G10)</f>
        <v>0.53351999999999999</v>
      </c>
      <c r="R17" s="9">
        <f>IF(NOT(ISBLANK($I17)),$I17,$F17)*IF(NOT(ISBLANK('Eingabe EF'!$M10)),'Eingabe EF'!$M10,'Eingabe EF'!$K10)</f>
        <v>0</v>
      </c>
      <c r="S17" s="9">
        <f>IF(NOT(ISBLANK($I17)),$I17,$F17)*IF(NOT(ISBLANK('Eingabe EF'!$Q10)),'Eingabe EF'!$Q10,'Eingabe EF'!$O10)</f>
        <v>7.9152E-2</v>
      </c>
      <c r="T17" s="3"/>
      <c r="U17" s="9">
        <f t="shared" ref="U17:U29" si="0">Q17+R17</f>
        <v>0.53351999999999999</v>
      </c>
      <c r="V17" s="9">
        <f>SUM(Q17:S17)</f>
        <v>0.61267199999999999</v>
      </c>
      <c r="W17" s="3" t="s">
        <v>164</v>
      </c>
      <c r="X17" s="3"/>
      <c r="Z17" s="3"/>
      <c r="AA17" s="3" t="s">
        <v>33</v>
      </c>
      <c r="AB17" s="16">
        <f>(IF(NOT(ISBLANK($I17)),$I17,$F17)+IF(NOT(ISBLANK($I22)),$I22,$F22))/1000*IF(NOT(ISBLANK('Eingabe Preise'!$G11)),'Eingabe Preise'!$G11,'Eingabe Preise'!$E11)</f>
        <v>460</v>
      </c>
      <c r="AC17" s="3" t="s">
        <v>109</v>
      </c>
      <c r="AD17" s="3"/>
    </row>
    <row r="18" spans="2:30" ht="15.75" x14ac:dyDescent="0.3">
      <c r="B18" s="3"/>
      <c r="C18" s="138"/>
      <c r="D18" s="3"/>
      <c r="E18" s="3" t="s">
        <v>133</v>
      </c>
      <c r="F18" s="121">
        <f>750000*0.2</f>
        <v>150000</v>
      </c>
      <c r="G18" s="139" t="s">
        <v>43</v>
      </c>
      <c r="H18" s="9"/>
      <c r="I18" s="113"/>
      <c r="J18" s="3" t="s">
        <v>43</v>
      </c>
      <c r="K18" s="3"/>
      <c r="L18" s="3"/>
      <c r="N18" s="3"/>
      <c r="O18" s="3" t="str">
        <f t="shared" ref="O18:O26" si="1">E18</f>
        <v>Elektrische Energie (deutscher Mix)</v>
      </c>
      <c r="P18" s="3"/>
      <c r="Q18" s="9">
        <f>IF(NOT(ISBLANK($I18)),$I18,$F18)*IF(NOT(ISBLANK('Eingabe EF'!$I11)),'Eingabe EF'!$I11,'Eingabe EF'!$G11)</f>
        <v>0</v>
      </c>
      <c r="R18" s="9">
        <f>IF(NOT(ISBLANK($I18)),$I18,$F18)*IF(NOT(ISBLANK('Eingabe EF'!$M11)),'Eingabe EF'!$M11,'Eingabe EF'!$K11)</f>
        <v>57.300000000000004</v>
      </c>
      <c r="S18" s="9">
        <f>IF(NOT(ISBLANK($I18)),$I18,$F18)*IF(NOT(ISBLANK('Eingabe EF'!$Q11)),'Eingabe EF'!$Q11,'Eingabe EF'!$O11)</f>
        <v>8.4</v>
      </c>
      <c r="T18" s="3"/>
      <c r="U18" s="9">
        <f>Q18+R18</f>
        <v>57.300000000000004</v>
      </c>
      <c r="V18" s="9">
        <f>SUM(Q18:S18)</f>
        <v>65.7</v>
      </c>
      <c r="W18" s="3" t="s">
        <v>164</v>
      </c>
      <c r="X18" s="3"/>
      <c r="Z18" s="3"/>
      <c r="AA18" s="3" t="s">
        <v>34</v>
      </c>
      <c r="AB18" s="16">
        <f>(IF(NOT(ISBLANK($I18)),$I18,$F18)+IF(NOT(ISBLANK($I24)),$I24,$F24))/1000*IF(NOT(ISBLANK('Eingabe Preise'!$G12)),'Eingabe Preise'!$G12,'Eingabe Preise'!$E12)</f>
        <v>129000</v>
      </c>
      <c r="AC18" s="3" t="s">
        <v>109</v>
      </c>
      <c r="AD18" s="3"/>
    </row>
    <row r="19" spans="2:30" ht="15.75" x14ac:dyDescent="0.3">
      <c r="B19" s="3"/>
      <c r="C19" s="138"/>
      <c r="D19" s="3"/>
      <c r="E19" s="3" t="s">
        <v>132</v>
      </c>
      <c r="F19" s="121">
        <v>0</v>
      </c>
      <c r="G19" s="139" t="s">
        <v>43</v>
      </c>
      <c r="H19" s="9"/>
      <c r="I19" s="113"/>
      <c r="J19" s="3" t="s">
        <v>43</v>
      </c>
      <c r="K19" s="147"/>
      <c r="L19" s="3"/>
      <c r="N19" s="3"/>
      <c r="O19" s="3" t="str">
        <f t="shared" si="1"/>
        <v>Alternativer Energieträger</v>
      </c>
      <c r="P19" s="3"/>
      <c r="Q19" s="9">
        <f>IF(NOT(ISBLANK($I19)),$I19,$F19)*IF(NOT(ISBLANK('Eingabe EF'!$I12)),'Eingabe EF'!$I12,0)</f>
        <v>0</v>
      </c>
      <c r="R19" s="9">
        <f>IF(NOT(ISBLANK($I19)),$I19,$F19)*IF(NOT(ISBLANK('Eingabe EF'!$M12)),'Eingabe EF'!$M12,0)</f>
        <v>0</v>
      </c>
      <c r="S19" s="9">
        <f>IF(NOT(ISBLANK($I19)),$I19,$F19)*IF(NOT(ISBLANK('Eingabe EF'!$Q12)),'Eingabe EF'!$Q12,0)</f>
        <v>0</v>
      </c>
      <c r="T19" s="3"/>
      <c r="U19" s="9">
        <f>Q19+R19</f>
        <v>0</v>
      </c>
      <c r="V19" s="9">
        <f>SUM(Q19:S19)</f>
        <v>0</v>
      </c>
      <c r="W19" s="3" t="s">
        <v>164</v>
      </c>
      <c r="X19" s="3"/>
      <c r="Z19" s="3"/>
      <c r="AA19" s="3" t="s">
        <v>125</v>
      </c>
      <c r="AB19" s="16">
        <f>IF(NOT(ISBLANK($I25)),$I25,$F25)/1000*IF(NOT(ISBLANK('Eingabe Preise'!$G13)),'Eingabe Preise'!$G13,'Eingabe Preise'!$E13)</f>
        <v>0</v>
      </c>
      <c r="AC19" s="3" t="s">
        <v>109</v>
      </c>
      <c r="AD19" s="3"/>
    </row>
    <row r="20" spans="2:30" x14ac:dyDescent="0.2">
      <c r="B20" s="3"/>
      <c r="C20" s="138"/>
      <c r="D20" s="3"/>
      <c r="E20" s="3"/>
      <c r="F20" s="121"/>
      <c r="G20" s="139"/>
      <c r="H20" s="9"/>
      <c r="I20" s="9"/>
      <c r="J20" s="3"/>
      <c r="K20" s="3"/>
      <c r="L20" s="3"/>
      <c r="N20" s="3"/>
      <c r="O20" s="3"/>
      <c r="P20" s="3"/>
      <c r="Q20" s="9"/>
      <c r="R20" s="9"/>
      <c r="S20" s="9"/>
      <c r="T20" s="3"/>
      <c r="U20" s="9"/>
      <c r="V20" s="9"/>
      <c r="W20" s="3"/>
      <c r="X20" s="3"/>
      <c r="Z20" s="3"/>
      <c r="AA20" s="3" t="s">
        <v>126</v>
      </c>
      <c r="AB20" s="16">
        <f>I19/1000*'Eingabe Preise'!G16</f>
        <v>0</v>
      </c>
      <c r="AC20" s="3" t="s">
        <v>109</v>
      </c>
      <c r="AD20" s="3"/>
    </row>
    <row r="21" spans="2:30" ht="15.75" x14ac:dyDescent="0.3">
      <c r="B21" s="3"/>
      <c r="C21" s="138"/>
      <c r="D21" s="3" t="s">
        <v>124</v>
      </c>
      <c r="E21" s="3" t="s">
        <v>32</v>
      </c>
      <c r="F21" s="121">
        <f>45000-F16</f>
        <v>36000</v>
      </c>
      <c r="G21" s="139" t="s">
        <v>41</v>
      </c>
      <c r="H21" s="9"/>
      <c r="I21" s="113"/>
      <c r="J21" s="3" t="s">
        <v>41</v>
      </c>
      <c r="K21" s="3"/>
      <c r="L21" s="3"/>
      <c r="N21" s="3"/>
      <c r="O21" s="3" t="str">
        <f t="shared" si="1"/>
        <v>Erdgas</v>
      </c>
      <c r="P21" s="3"/>
      <c r="Q21" s="9">
        <f>IF(NOT(ISBLANK($I21)),$I21,$F21)*IF(NOT(ISBLANK('Eingabe EF'!$I9)),'Eingabe EF'!$I9,'Eingabe EF'!$G9)</f>
        <v>6.5937599999999996</v>
      </c>
      <c r="R21" s="9">
        <f>IF(NOT(ISBLANK($I21)),$I21,$F21)*IF(NOT(ISBLANK('Eingabe EF'!$M9)),'Eingabe EF'!$M9,'Eingabe EF'!$K9)</f>
        <v>0</v>
      </c>
      <c r="S21" s="9">
        <f>IF(NOT(ISBLANK($I21)),$I21,$F21)*IF(NOT(ISBLANK('Eingabe EF'!$Q9)),'Eingabe EF'!$Q9,'Eingabe EF'!$O9)</f>
        <v>1.1286</v>
      </c>
      <c r="T21" s="3"/>
      <c r="U21" s="9">
        <f>Q21+R21</f>
        <v>6.5937599999999996</v>
      </c>
      <c r="V21" s="9">
        <f t="shared" ref="V21:V29" si="2">SUM(Q21:S21)</f>
        <v>7.7223600000000001</v>
      </c>
      <c r="W21" s="3" t="s">
        <v>164</v>
      </c>
      <c r="X21" s="3"/>
      <c r="Z21" s="3"/>
      <c r="AA21" s="3" t="s">
        <v>127</v>
      </c>
      <c r="AB21" s="16">
        <f>I26/1000*'Eingabe Preise'!G17</f>
        <v>0</v>
      </c>
      <c r="AC21" s="3" t="s">
        <v>109</v>
      </c>
      <c r="AD21" s="3"/>
    </row>
    <row r="22" spans="2:30" ht="15.75" x14ac:dyDescent="0.3">
      <c r="B22" s="3"/>
      <c r="C22" s="138"/>
      <c r="D22" s="3"/>
      <c r="E22" s="3" t="s">
        <v>33</v>
      </c>
      <c r="F22" s="121">
        <f>10000-F17</f>
        <v>8000</v>
      </c>
      <c r="G22" s="139" t="s">
        <v>44</v>
      </c>
      <c r="H22" s="9"/>
      <c r="I22" s="113"/>
      <c r="J22" s="3" t="s">
        <v>44</v>
      </c>
      <c r="K22" s="3"/>
      <c r="L22" s="3"/>
      <c r="N22" s="3"/>
      <c r="O22" s="3" t="str">
        <f t="shared" si="1"/>
        <v>Heizöl</v>
      </c>
      <c r="P22" s="3"/>
      <c r="Q22" s="9">
        <f>IF(NOT(ISBLANK($I22)),$I22,$F22)*IF(NOT(ISBLANK('Eingabe EF'!$I10)),'Eingabe EF'!$I10,'Eingabe EF'!$G10)</f>
        <v>2.13408</v>
      </c>
      <c r="R22" s="9">
        <f>IF(NOT(ISBLANK($I22)),$I22,$F22)*IF(NOT(ISBLANK('Eingabe EF'!$M10)),'Eingabe EF'!$M10,'Eingabe EF'!$K10)</f>
        <v>0</v>
      </c>
      <c r="S22" s="9">
        <f>IF(NOT(ISBLANK($I22)),$I22,$F22)*IF(NOT(ISBLANK('Eingabe EF'!$Q10)),'Eingabe EF'!$Q10,'Eingabe EF'!$O10)</f>
        <v>0.316608</v>
      </c>
      <c r="T22" s="3"/>
      <c r="U22" s="9">
        <f t="shared" ref="U22" si="3">Q22+R22</f>
        <v>2.13408</v>
      </c>
      <c r="V22" s="9">
        <f t="shared" si="2"/>
        <v>2.450688</v>
      </c>
      <c r="W22" s="3" t="s">
        <v>164</v>
      </c>
      <c r="X22" s="3"/>
      <c r="Z22" s="3"/>
      <c r="AA22" s="3" t="s">
        <v>35</v>
      </c>
      <c r="AB22" s="16">
        <f>(IF(NOT(ISBLANK($I28)),$I28,$F28)+IF(NOT(ISBLANK($I29)),$I29,$F29))*IF(NOT(ISBLANK('Eingabe Preise'!$G14)),'Eingabe Preise'!$G14,'Eingabe Preise'!$E14)</f>
        <v>40464.000000000007</v>
      </c>
      <c r="AC22" s="3" t="s">
        <v>109</v>
      </c>
      <c r="AD22" s="3"/>
    </row>
    <row r="23" spans="2:30" x14ac:dyDescent="0.2">
      <c r="B23" s="3"/>
      <c r="C23" s="138"/>
      <c r="D23" s="3"/>
      <c r="E23" s="3"/>
      <c r="F23" s="139"/>
      <c r="G23" s="139"/>
      <c r="H23" s="3"/>
      <c r="I23" s="9"/>
      <c r="J23" s="3"/>
      <c r="K23" s="3"/>
      <c r="L23" s="3"/>
      <c r="N23" s="3"/>
      <c r="O23" s="3"/>
      <c r="P23" s="3"/>
      <c r="Q23" s="9"/>
      <c r="R23" s="9"/>
      <c r="S23" s="9"/>
      <c r="T23" s="3"/>
      <c r="U23" s="9"/>
      <c r="V23" s="9"/>
      <c r="W23" s="3"/>
      <c r="X23" s="3"/>
      <c r="Z23" s="3"/>
      <c r="AA23" s="3"/>
      <c r="AB23" s="16"/>
      <c r="AC23" s="3"/>
      <c r="AD23" s="3"/>
    </row>
    <row r="24" spans="2:30" ht="15.75" x14ac:dyDescent="0.3">
      <c r="B24" s="3"/>
      <c r="C24" s="138"/>
      <c r="D24" s="3" t="s">
        <v>110</v>
      </c>
      <c r="E24" s="3" t="s">
        <v>133</v>
      </c>
      <c r="F24" s="121">
        <f>750000-F18</f>
        <v>600000</v>
      </c>
      <c r="G24" s="139" t="s">
        <v>43</v>
      </c>
      <c r="H24" s="9"/>
      <c r="I24" s="113"/>
      <c r="J24" s="3" t="s">
        <v>43</v>
      </c>
      <c r="K24" s="3"/>
      <c r="L24" s="3"/>
      <c r="N24" s="3"/>
      <c r="O24" s="3" t="str">
        <f t="shared" si="1"/>
        <v>Elektrische Energie (deutscher Mix)</v>
      </c>
      <c r="P24" s="3"/>
      <c r="Q24" s="9">
        <f>IF(NOT(ISBLANK($I24)),$I24,$F24)*IF(NOT(ISBLANK('Eingabe EF'!$I11)),'Eingabe EF'!$I11,'Eingabe EF'!$G11)</f>
        <v>0</v>
      </c>
      <c r="R24" s="9">
        <f>IF(NOT(ISBLANK($I24)),$I24,$F24)*IF(NOT(ISBLANK('Eingabe EF'!$M11)),'Eingabe EF'!$M11,'Eingabe EF'!$K11)</f>
        <v>229.20000000000002</v>
      </c>
      <c r="S24" s="9">
        <f>IF(NOT(ISBLANK($I24)),$I24,$F24)*IF(NOT(ISBLANK('Eingabe EF'!$Q11)),'Eingabe EF'!$Q11,'Eingabe EF'!$O11)</f>
        <v>33.6</v>
      </c>
      <c r="T24" s="3"/>
      <c r="U24" s="9">
        <f t="shared" si="0"/>
        <v>229.20000000000002</v>
      </c>
      <c r="V24" s="9">
        <f t="shared" si="2"/>
        <v>262.8</v>
      </c>
      <c r="W24" s="3" t="s">
        <v>164</v>
      </c>
      <c r="X24" s="3"/>
      <c r="Z24" s="3"/>
      <c r="AA24" s="3"/>
      <c r="AB24" s="3"/>
      <c r="AC24" s="3"/>
      <c r="AD24" s="3"/>
    </row>
    <row r="25" spans="2:30" ht="15.75" x14ac:dyDescent="0.3">
      <c r="B25" s="3"/>
      <c r="C25" s="138"/>
      <c r="D25" s="3"/>
      <c r="E25" s="3" t="s">
        <v>125</v>
      </c>
      <c r="F25" s="121">
        <v>0</v>
      </c>
      <c r="G25" s="139" t="s">
        <v>43</v>
      </c>
      <c r="H25" s="9"/>
      <c r="I25" s="113"/>
      <c r="J25" s="3" t="s">
        <v>43</v>
      </c>
      <c r="K25" s="3"/>
      <c r="L25" s="3"/>
      <c r="N25" s="3"/>
      <c r="O25" s="3" t="str">
        <f t="shared" si="1"/>
        <v>Flüssiggas</v>
      </c>
      <c r="P25" s="3"/>
      <c r="Q25" s="9">
        <f>IF(NOT(ISBLANK($I25)),$I25,$F25)*IF(NOT(ISBLANK('Eingabe EF'!$I13)),'Eingabe EF'!$I13,'Eingabe EF'!$G13)</f>
        <v>0</v>
      </c>
      <c r="R25" s="9">
        <f>IF(NOT(ISBLANK($I25)),$I25,$F25)*IF(NOT(ISBLANK('Eingabe EF'!$M13)),'Eingabe EF'!$M13,'Eingabe EF'!$K13)</f>
        <v>0</v>
      </c>
      <c r="S25" s="9">
        <f>IF(NOT(ISBLANK($I25)),$I25,$F25)*IF(NOT(ISBLANK('Eingabe EF'!$Q13)),'Eingabe EF'!$Q13,'Eingabe EF'!$O13)</f>
        <v>0</v>
      </c>
      <c r="T25" s="3"/>
      <c r="U25" s="9">
        <f t="shared" ref="U25" si="4">Q25+R25</f>
        <v>0</v>
      </c>
      <c r="V25" s="9">
        <f t="shared" si="2"/>
        <v>0</v>
      </c>
      <c r="W25" s="3" t="s">
        <v>164</v>
      </c>
      <c r="X25" s="3"/>
      <c r="Z25" s="3"/>
      <c r="AA25" s="133" t="s">
        <v>323</v>
      </c>
      <c r="AB25" s="137">
        <f>SUM(AB26:AB28)</f>
        <v>272843.09601517254</v>
      </c>
      <c r="AC25" s="133" t="s">
        <v>109</v>
      </c>
      <c r="AD25" s="3"/>
    </row>
    <row r="26" spans="2:30" ht="15.75" x14ac:dyDescent="0.3">
      <c r="B26" s="3"/>
      <c r="C26" s="138"/>
      <c r="D26" s="3"/>
      <c r="E26" s="3" t="s">
        <v>132</v>
      </c>
      <c r="F26" s="121">
        <v>0</v>
      </c>
      <c r="G26" s="139" t="s">
        <v>43</v>
      </c>
      <c r="H26" s="9"/>
      <c r="I26" s="113"/>
      <c r="J26" s="3" t="s">
        <v>43</v>
      </c>
      <c r="K26" s="147"/>
      <c r="L26" s="3"/>
      <c r="N26" s="3"/>
      <c r="O26" s="3" t="str">
        <f t="shared" si="1"/>
        <v>Alternativer Energieträger</v>
      </c>
      <c r="P26" s="3"/>
      <c r="Q26" s="9">
        <f>IF(NOT(ISBLANK($I26)),$I26,$F26)*IF(NOT(ISBLANK('Eingabe EF'!$I14)),'Eingabe EF'!$I14,0)</f>
        <v>0</v>
      </c>
      <c r="R26" s="9">
        <f>IF(NOT(ISBLANK($I26)),$I26,$F26)*IF(NOT(ISBLANK('Eingabe EF'!$M12)),'Eingabe EF'!$M12,0)</f>
        <v>0</v>
      </c>
      <c r="S26" s="9">
        <f>IF(NOT(ISBLANK($I26)),$I26,$F26)*IF(NOT(ISBLANK('Eingabe EF'!$Q14)),'Eingabe EF'!$Q14,0)</f>
        <v>0</v>
      </c>
      <c r="T26" s="3"/>
      <c r="U26" s="9">
        <f>Q26+R26</f>
        <v>0</v>
      </c>
      <c r="V26" s="9">
        <f t="shared" si="2"/>
        <v>0</v>
      </c>
      <c r="W26" s="3" t="s">
        <v>164</v>
      </c>
      <c r="X26" s="3"/>
      <c r="Z26" s="3"/>
      <c r="AA26" s="3" t="s">
        <v>27</v>
      </c>
      <c r="AB26" s="16">
        <f>Q74*IF(NOT(ISBLANK('Eingabe Preise'!$G21)),'Eingabe Preise'!$G21,'Eingabe Preise'!$E21)</f>
        <v>2665.0220039999999</v>
      </c>
      <c r="AC26" s="3" t="s">
        <v>109</v>
      </c>
      <c r="AD26" s="3"/>
    </row>
    <row r="27" spans="2:30" x14ac:dyDescent="0.2">
      <c r="B27" s="3"/>
      <c r="C27" s="138"/>
      <c r="D27" s="3"/>
      <c r="E27" s="3"/>
      <c r="F27" s="121"/>
      <c r="G27" s="121"/>
      <c r="H27" s="9"/>
      <c r="I27" s="9"/>
      <c r="J27" s="3"/>
      <c r="K27" s="3"/>
      <c r="L27" s="3"/>
      <c r="N27" s="3"/>
      <c r="O27" s="31"/>
      <c r="P27" s="31"/>
      <c r="Q27" s="140"/>
      <c r="R27" s="140"/>
      <c r="S27" s="140"/>
      <c r="T27" s="31"/>
      <c r="U27" s="140"/>
      <c r="V27" s="140"/>
      <c r="W27" s="31"/>
      <c r="X27" s="3"/>
      <c r="Z27" s="3"/>
      <c r="AA27" s="3" t="s">
        <v>28</v>
      </c>
      <c r="AB27" s="16">
        <f>R74*IF(NOT(ISBLANK('Eingabe Preise'!$G22)),'Eingabe Preise'!$G22,'Eingabe Preise'!$E22)</f>
        <v>7162.5</v>
      </c>
      <c r="AC27" s="3" t="s">
        <v>109</v>
      </c>
      <c r="AD27" s="3"/>
    </row>
    <row r="28" spans="2:30" ht="15.75" x14ac:dyDescent="0.3">
      <c r="B28" s="3"/>
      <c r="C28" s="138"/>
      <c r="D28" s="3" t="s">
        <v>452</v>
      </c>
      <c r="E28" s="3" t="s">
        <v>35</v>
      </c>
      <c r="F28" s="121">
        <v>32000</v>
      </c>
      <c r="G28" s="139" t="s">
        <v>42</v>
      </c>
      <c r="H28" s="9"/>
      <c r="I28" s="113"/>
      <c r="J28" s="3" t="s">
        <v>42</v>
      </c>
      <c r="K28" s="3"/>
      <c r="L28" s="3"/>
      <c r="N28" s="3"/>
      <c r="O28" s="3" t="str">
        <f>E28&amp;" "&amp;D28</f>
        <v>Diesel Gabelstapler (10x) 1)</v>
      </c>
      <c r="P28" s="3"/>
      <c r="Q28" s="9">
        <f>IF(NOT(ISBLANK($I28)),$I28,$F28)*IF(NOT(ISBLANK('Eingabe EF'!$I15)),'Eingabe EF'!$I15,'Eingabe EF'!$G15)</f>
        <v>85.058737919999984</v>
      </c>
      <c r="R28" s="9">
        <f>IF(NOT(ISBLANK($I28)),$I28,$F28)*IF(NOT(ISBLANK('Eingabe EF'!$M15)),'Eingabe EF'!$M15,'Eingabe EF'!$K15)</f>
        <v>0</v>
      </c>
      <c r="S28" s="9">
        <f>IF(NOT(ISBLANK($I28)),$I28,$F28)*IF(NOT(ISBLANK('Eingabe EF'!$Q15)),'Eingabe EF'!$Q15,'Eingabe EF'!$O15)</f>
        <v>15.027966720000002</v>
      </c>
      <c r="T28" s="3"/>
      <c r="U28" s="9">
        <f t="shared" si="0"/>
        <v>85.058737919999984</v>
      </c>
      <c r="V28" s="9">
        <f t="shared" si="2"/>
        <v>100.08670463999999</v>
      </c>
      <c r="W28" s="3" t="s">
        <v>164</v>
      </c>
      <c r="X28" s="3"/>
      <c r="Z28" s="3"/>
      <c r="AA28" s="3" t="s">
        <v>29</v>
      </c>
      <c r="AB28" s="16">
        <f>S74*IF(NOT(ISBLANK('Eingabe Preise'!$G23)),'Eingabe Preise'!$G23,'Eingabe Preise'!$E23)</f>
        <v>263015.57401117252</v>
      </c>
      <c r="AC28" s="3" t="s">
        <v>109</v>
      </c>
      <c r="AD28" s="3"/>
    </row>
    <row r="29" spans="2:30" ht="15.75" x14ac:dyDescent="0.3">
      <c r="B29" s="3"/>
      <c r="C29" s="138"/>
      <c r="D29" s="3" t="s">
        <v>77</v>
      </c>
      <c r="E29" s="3" t="s">
        <v>35</v>
      </c>
      <c r="F29" s="121">
        <v>4000</v>
      </c>
      <c r="G29" s="139" t="s">
        <v>42</v>
      </c>
      <c r="H29" s="9"/>
      <c r="I29" s="113"/>
      <c r="J29" s="3" t="s">
        <v>42</v>
      </c>
      <c r="K29" s="3"/>
      <c r="L29" s="3"/>
      <c r="N29" s="3"/>
      <c r="O29" s="3" t="str">
        <f>E29&amp;" "&amp;D29</f>
        <v>Diesel Radlader (1x)</v>
      </c>
      <c r="P29" s="3"/>
      <c r="Q29" s="9">
        <f>IF(NOT(ISBLANK($I29)),$I29,$F29)*IF(NOT(ISBLANK('Eingabe EF'!$I15)),'Eingabe EF'!$I15,'Eingabe EF'!$G15)</f>
        <v>10.632342239999998</v>
      </c>
      <c r="R29" s="9">
        <f>IF(NOT(ISBLANK($I29)),$I29,$F29)*IF(NOT(ISBLANK('Eingabe EF'!$M15)),'Eingabe EF'!$M15,'Eingabe EF'!$K15)</f>
        <v>0</v>
      </c>
      <c r="S29" s="9">
        <f>IF(NOT(ISBLANK($I29)),$I29,$F29)*IF(NOT(ISBLANK('Eingabe EF'!$Q15)),'Eingabe EF'!$Q15,'Eingabe EF'!$O15)</f>
        <v>1.8784958400000002</v>
      </c>
      <c r="T29" s="3"/>
      <c r="U29" s="9">
        <f t="shared" si="0"/>
        <v>10.632342239999998</v>
      </c>
      <c r="V29" s="9">
        <f t="shared" si="2"/>
        <v>12.510838079999999</v>
      </c>
      <c r="W29" s="3" t="s">
        <v>164</v>
      </c>
      <c r="X29" s="3"/>
      <c r="Z29" s="3"/>
      <c r="AA29" s="3"/>
      <c r="AB29" s="3"/>
      <c r="AC29" s="3"/>
      <c r="AD29" s="3"/>
    </row>
    <row r="30" spans="2:30" ht="13.5" thickBot="1" x14ac:dyDescent="0.25">
      <c r="B30" s="3"/>
      <c r="C30" s="138"/>
      <c r="D30" s="3"/>
      <c r="E30" s="3"/>
      <c r="F30" s="121"/>
      <c r="G30" s="139"/>
      <c r="H30" s="9"/>
      <c r="I30" s="9"/>
      <c r="J30" s="3"/>
      <c r="K30" s="3"/>
      <c r="L30" s="3"/>
      <c r="N30" s="3"/>
      <c r="O30" s="3"/>
      <c r="P30" s="3"/>
      <c r="Q30" s="9"/>
      <c r="R30" s="9"/>
      <c r="S30" s="9"/>
      <c r="T30" s="3"/>
      <c r="U30" s="9"/>
      <c r="V30" s="9"/>
      <c r="W30" s="3"/>
      <c r="X30" s="3"/>
      <c r="Z30" s="3"/>
      <c r="AA30" s="27" t="s">
        <v>135</v>
      </c>
      <c r="AB30" s="141">
        <f>AB25+AB15</f>
        <v>445512.09601517254</v>
      </c>
      <c r="AC30" s="27" t="s">
        <v>109</v>
      </c>
      <c r="AD30" s="3"/>
    </row>
    <row r="31" spans="2:30" ht="15" thickTop="1" x14ac:dyDescent="0.25">
      <c r="B31" s="3"/>
      <c r="C31" s="8" t="s">
        <v>29</v>
      </c>
      <c r="D31" s="3"/>
      <c r="E31" s="3"/>
      <c r="F31" s="121"/>
      <c r="G31" s="139"/>
      <c r="H31" s="9"/>
      <c r="I31" s="9"/>
      <c r="J31" s="3"/>
      <c r="K31" s="3"/>
      <c r="L31" s="3"/>
      <c r="N31" s="3"/>
      <c r="O31" s="133" t="s">
        <v>190</v>
      </c>
      <c r="P31" s="139"/>
      <c r="Q31" s="136">
        <f>Q32+Q33</f>
        <v>0</v>
      </c>
      <c r="R31" s="136">
        <f>R32+R33</f>
        <v>0</v>
      </c>
      <c r="S31" s="136">
        <f>S32+S33</f>
        <v>578.62626120000004</v>
      </c>
      <c r="T31" s="139"/>
      <c r="U31" s="136">
        <f>Q31+R31</f>
        <v>0</v>
      </c>
      <c r="V31" s="136">
        <f>SUM(Q31:S31)</f>
        <v>578.62626120000004</v>
      </c>
      <c r="W31" s="133" t="s">
        <v>165</v>
      </c>
      <c r="X31" s="3"/>
      <c r="Z31" s="3"/>
      <c r="AA31" s="3"/>
      <c r="AB31" s="3"/>
      <c r="AC31" s="3"/>
      <c r="AD31" s="3"/>
    </row>
    <row r="32" spans="2:30" ht="15.75" x14ac:dyDescent="0.3">
      <c r="B32" s="3"/>
      <c r="C32" s="3"/>
      <c r="D32" s="3" t="s">
        <v>46</v>
      </c>
      <c r="E32" s="3" t="s">
        <v>35</v>
      </c>
      <c r="F32" s="121">
        <v>80000</v>
      </c>
      <c r="G32" s="139" t="s">
        <v>42</v>
      </c>
      <c r="H32" s="9"/>
      <c r="I32" s="113"/>
      <c r="J32" s="3" t="s">
        <v>42</v>
      </c>
      <c r="K32" s="3"/>
      <c r="L32" s="3"/>
      <c r="N32" s="3"/>
      <c r="O32" s="3" t="str">
        <f>E32&amp;" "&amp;D32</f>
        <v>Diesel Transport vorgelagert</v>
      </c>
      <c r="P32" s="3"/>
      <c r="Q32" s="9">
        <f>IF(NOT(ISBLANK($I32)),$I32,$F32)*IF(NOT(ISBLANK('Eingabe EF'!$I17)),'Eingabe EF'!$I17,'Eingabe EF'!$G17)</f>
        <v>0</v>
      </c>
      <c r="R32" s="9">
        <f>IF(NOT(ISBLANK($I32)),$I32,$F32)*IF(NOT(ISBLANK('Eingabe EF'!$M17)),'Eingabe EF'!$M17,'Eingabe EF'!$K17)</f>
        <v>0</v>
      </c>
      <c r="S32" s="9">
        <f>IF(NOT(ISBLANK($I32)),$I32,$F32)*IF(NOT(ISBLANK('Eingabe EF'!$Q17)),'Eingabe EF'!$Q17,'Eingabe EF'!$O17)</f>
        <v>250.21676159999998</v>
      </c>
      <c r="T32" s="3"/>
      <c r="U32" s="9">
        <f>Q32+R32</f>
        <v>0</v>
      </c>
      <c r="V32" s="9">
        <f>SUM(Q32:S32)</f>
        <v>250.21676159999998</v>
      </c>
      <c r="W32" s="3" t="s">
        <v>164</v>
      </c>
      <c r="X32" s="3"/>
      <c r="Z32" s="3"/>
      <c r="AA32" s="3"/>
      <c r="AB32" s="3"/>
      <c r="AC32" s="3"/>
      <c r="AD32" s="3"/>
    </row>
    <row r="33" spans="2:24" ht="15.75" x14ac:dyDescent="0.3">
      <c r="B33" s="3"/>
      <c r="C33" s="3"/>
      <c r="D33" s="3" t="s">
        <v>47</v>
      </c>
      <c r="E33" s="3" t="s">
        <v>35</v>
      </c>
      <c r="F33" s="121">
        <v>105000</v>
      </c>
      <c r="G33" s="139" t="s">
        <v>42</v>
      </c>
      <c r="H33" s="9"/>
      <c r="I33" s="113"/>
      <c r="J33" s="3" t="s">
        <v>42</v>
      </c>
      <c r="K33" s="3"/>
      <c r="L33" s="3"/>
      <c r="N33" s="3"/>
      <c r="O33" s="3" t="str">
        <f>E33&amp;" "&amp;D33</f>
        <v>Diesel Transport nachgelagert</v>
      </c>
      <c r="P33" s="3"/>
      <c r="Q33" s="9">
        <f>IF(NOT(ISBLANK($I33)),$I33,$F33)*IF(NOT(ISBLANK('Eingabe EF'!$I18)),'Eingabe EF'!$I18,'Eingabe EF'!$G18)</f>
        <v>0</v>
      </c>
      <c r="R33" s="9">
        <f>IF(NOT(ISBLANK($I33)),$I33,$F33)*IF(NOT(ISBLANK('Eingabe EF'!$M18)),'Eingabe EF'!$M18,'Eingabe EF'!$K18)</f>
        <v>0</v>
      </c>
      <c r="S33" s="9">
        <f>IF(NOT(ISBLANK($I33)),$I33,$F33)*IF(NOT(ISBLANK('Eingabe EF'!$Q18)),'Eingabe EF'!$Q18,'Eingabe EF'!$O18)</f>
        <v>328.4094996</v>
      </c>
      <c r="T33" s="3"/>
      <c r="U33" s="9">
        <f>Q33+R33</f>
        <v>0</v>
      </c>
      <c r="V33" s="9">
        <f>SUM(Q33:S33)</f>
        <v>328.4094996</v>
      </c>
      <c r="W33" s="3" t="s">
        <v>164</v>
      </c>
      <c r="X33" s="3"/>
    </row>
    <row r="34" spans="2:24" x14ac:dyDescent="0.2">
      <c r="B34" s="3"/>
      <c r="C34" s="3"/>
      <c r="D34" s="3"/>
      <c r="E34" s="3"/>
      <c r="F34" s="139"/>
      <c r="G34" s="139"/>
      <c r="H34" s="3"/>
      <c r="I34" s="3"/>
      <c r="J34" s="3"/>
      <c r="K34" s="3"/>
      <c r="L34" s="3"/>
      <c r="N34" s="3"/>
      <c r="O34" s="3"/>
      <c r="P34" s="3"/>
      <c r="Q34" s="9"/>
      <c r="R34" s="9"/>
      <c r="S34" s="9"/>
      <c r="T34" s="3"/>
      <c r="U34" s="9"/>
      <c r="V34" s="9"/>
      <c r="W34" s="3"/>
      <c r="X34" s="3"/>
    </row>
    <row r="35" spans="2:24" ht="14.25" x14ac:dyDescent="0.25">
      <c r="B35" s="3"/>
      <c r="C35" s="3"/>
      <c r="D35" s="8" t="s">
        <v>69</v>
      </c>
      <c r="E35" s="3"/>
      <c r="F35" s="139"/>
      <c r="G35" s="139"/>
      <c r="H35" s="3"/>
      <c r="I35" s="3"/>
      <c r="J35" s="3"/>
      <c r="K35" s="3"/>
      <c r="L35" s="3"/>
      <c r="N35" s="3"/>
      <c r="O35" s="133" t="s">
        <v>68</v>
      </c>
      <c r="P35" s="139"/>
      <c r="Q35" s="136">
        <f>SUM(Q36:Q39)</f>
        <v>0</v>
      </c>
      <c r="R35" s="136">
        <f>SUM(R36:R39)</f>
        <v>0</v>
      </c>
      <c r="S35" s="136">
        <f>SUM(S36:S39)</f>
        <v>7683.24</v>
      </c>
      <c r="T35" s="139"/>
      <c r="U35" s="136">
        <f>Q35+R35</f>
        <v>0</v>
      </c>
      <c r="V35" s="136">
        <f>SUM(Q35:S35)</f>
        <v>7683.24</v>
      </c>
      <c r="W35" s="133" t="s">
        <v>165</v>
      </c>
      <c r="X35" s="3"/>
    </row>
    <row r="36" spans="2:24" ht="15.75" x14ac:dyDescent="0.3">
      <c r="B36" s="3"/>
      <c r="C36" s="3"/>
      <c r="D36" s="3" t="s">
        <v>48</v>
      </c>
      <c r="E36" s="3"/>
      <c r="F36" s="109">
        <v>3.2250000000000001E-2</v>
      </c>
      <c r="G36" s="139"/>
      <c r="H36" s="3"/>
      <c r="I36" s="148"/>
      <c r="J36" s="3"/>
      <c r="K36" s="3"/>
      <c r="L36" s="3"/>
      <c r="N36" s="3"/>
      <c r="O36" s="3" t="str">
        <f>D36</f>
        <v>Zement - CEM I</v>
      </c>
      <c r="P36" s="3"/>
      <c r="Q36" s="9">
        <f>IF(NOT(ISBLANK($I36)),$I36,$F36)*IF(NOT(ISBLANK('Eingabe EF'!$I21)),'Eingabe EF'!$I21,'Eingabe EF'!$G21)*IF(NOT(ISBLANK($I$12)),$I$12,$F$12)</f>
        <v>0</v>
      </c>
      <c r="R36" s="9">
        <f>IF(NOT(ISBLANK($I36)),$I36,$F36)*IF(NOT(ISBLANK('Eingabe EF'!$M21)),'Eingabe EF'!$M21,'Eingabe EF'!$K21)*IF(NOT(ISBLANK($I$12)),$I$12,$F$12)</f>
        <v>0</v>
      </c>
      <c r="S36" s="9">
        <f>IF(NOT(ISBLANK($I36)),$I36,$F36)*IF(NOT(ISBLANK('Eingabe EF'!$Q21)),'Eingabe EF'!$Q21,'Eingabe EF'!$O21)*IF(NOT(ISBLANK($I$12)),$I$12,$F$12)</f>
        <v>2144.625</v>
      </c>
      <c r="T36" s="3"/>
      <c r="U36" s="9">
        <f>Q36+R36</f>
        <v>0</v>
      </c>
      <c r="V36" s="9">
        <f>SUM(Q36:S36)</f>
        <v>2144.625</v>
      </c>
      <c r="W36" s="3" t="s">
        <v>164</v>
      </c>
      <c r="X36" s="3"/>
    </row>
    <row r="37" spans="2:24" ht="15.75" x14ac:dyDescent="0.3">
      <c r="B37" s="3"/>
      <c r="C37" s="3"/>
      <c r="D37" s="3" t="s">
        <v>50</v>
      </c>
      <c r="E37" s="3"/>
      <c r="F37" s="109">
        <v>9.0299999999999991E-2</v>
      </c>
      <c r="G37" s="139"/>
      <c r="H37" s="3"/>
      <c r="I37" s="148"/>
      <c r="J37" s="3"/>
      <c r="K37" s="3"/>
      <c r="L37" s="3"/>
      <c r="N37" s="3"/>
      <c r="O37" s="3" t="str">
        <f>D37</f>
        <v>Zement - CEM II</v>
      </c>
      <c r="P37" s="3"/>
      <c r="Q37" s="9">
        <f>IF(NOT(ISBLANK($I37)),$I37,$F37)*IF(NOT(ISBLANK('Eingabe EF'!$I22)),'Eingabe EF'!$I22,'Eingabe EF'!$G22)*IF(NOT(ISBLANK($I$12)),$I$12,$F$12)</f>
        <v>0</v>
      </c>
      <c r="R37" s="9">
        <f>IF(NOT(ISBLANK($I37)),$I37,$F37)*IF(NOT(ISBLANK('Eingabe EF'!$M22)),'Eingabe EF'!$M22,'Eingabe EF'!$K22)*IF(NOT(ISBLANK($I$12)),$I$12,$F$12)</f>
        <v>0</v>
      </c>
      <c r="S37" s="9">
        <f>IF(NOT(ISBLANK($I37)),$I37,$F37)*IF(NOT(ISBLANK('Eingabe EF'!$Q22)),'Eingabe EF'!$Q22,'Eingabe EF'!$O22)*IF(NOT(ISBLANK($I$12)),$I$12,$F$12)</f>
        <v>4993.59</v>
      </c>
      <c r="T37" s="3"/>
      <c r="U37" s="9">
        <f>Q37+R37</f>
        <v>0</v>
      </c>
      <c r="V37" s="9">
        <f>SUM(Q37:S37)</f>
        <v>4993.59</v>
      </c>
      <c r="W37" s="3" t="s">
        <v>164</v>
      </c>
      <c r="X37" s="3"/>
    </row>
    <row r="38" spans="2:24" ht="15.75" x14ac:dyDescent="0.3">
      <c r="B38" s="3"/>
      <c r="C38" s="3"/>
      <c r="D38" s="3" t="s">
        <v>51</v>
      </c>
      <c r="E38" s="3"/>
      <c r="F38" s="109">
        <v>6.4500000000000009E-3</v>
      </c>
      <c r="G38" s="139"/>
      <c r="H38" s="3"/>
      <c r="I38" s="148"/>
      <c r="J38" s="3"/>
      <c r="K38" s="3"/>
      <c r="L38" s="3"/>
      <c r="N38" s="3"/>
      <c r="O38" s="3" t="str">
        <f>D38</f>
        <v>Weißzement</v>
      </c>
      <c r="P38" s="3"/>
      <c r="Q38" s="9">
        <f>IF(NOT(ISBLANK($I38)),$I38,$F38)*IF(NOT(ISBLANK('Eingabe EF'!$I23)),'Eingabe EF'!$I23,'Eingabe EF'!$G23)*IF(NOT(ISBLANK($I$12)),$I$12,$F$12)</f>
        <v>0</v>
      </c>
      <c r="R38" s="9">
        <f>IF(NOT(ISBLANK($I38)),$I38,$F38)*IF(NOT(ISBLANK('Eingabe EF'!$M23)),'Eingabe EF'!$M23,'Eingabe EF'!$K23)*IF(NOT(ISBLANK($I$12)),$I$12,$F$12)</f>
        <v>0</v>
      </c>
      <c r="S38" s="9">
        <f>IF(NOT(ISBLANK($I38)),$I38,$F38)*IF(NOT(ISBLANK('Eingabe EF'!$Q23)),'Eingabe EF'!$Q23,'Eingabe EF'!$O23)*IF(NOT(ISBLANK($I$12)),$I$12,$F$12)</f>
        <v>545.02499999999998</v>
      </c>
      <c r="T38" s="3"/>
      <c r="U38" s="9">
        <f>Q38+R38</f>
        <v>0</v>
      </c>
      <c r="V38" s="9">
        <f>SUM(Q38:S38)</f>
        <v>545.02499999999998</v>
      </c>
      <c r="W38" s="3" t="s">
        <v>164</v>
      </c>
      <c r="X38" s="3"/>
    </row>
    <row r="39" spans="2:24" ht="15.75" x14ac:dyDescent="0.3">
      <c r="B39" s="3"/>
      <c r="C39" s="3"/>
      <c r="D39" s="3" t="s">
        <v>163</v>
      </c>
      <c r="E39" s="3"/>
      <c r="F39" s="110">
        <v>0</v>
      </c>
      <c r="G39" s="139"/>
      <c r="H39" s="3"/>
      <c r="I39" s="148"/>
      <c r="J39" s="3"/>
      <c r="K39" s="147"/>
      <c r="L39" s="3"/>
      <c r="N39" s="3"/>
      <c r="O39" s="3" t="str">
        <f>D39</f>
        <v>Weitere Zementsorte</v>
      </c>
      <c r="P39" s="3"/>
      <c r="Q39" s="9">
        <f>IF(NOT(ISBLANK($I39)),$I39,$F39)*IF(NOT(ISBLANK('Eingabe EF'!$I24)),'Eingabe EF'!$I24,0)*IF(NOT(ISBLANK($I$12)),$I$12,$F$12)</f>
        <v>0</v>
      </c>
      <c r="R39" s="9">
        <f>IF(NOT(ISBLANK($I39)),$I39,$F39)*IF(NOT(ISBLANK('Eingabe EF'!$M24)),'Eingabe EF'!$M24,0)*IF(NOT(ISBLANK($I$12)),$I$12,$F$12)</f>
        <v>0</v>
      </c>
      <c r="S39" s="9">
        <f>IF(NOT(ISBLANK($I39)),$I39,$F39)*IF(NOT(ISBLANK('Eingabe EF'!$Q24)),'Eingabe EF'!$Q24,0)*IF(NOT(ISBLANK($I$12)),$I$12,$F$12)</f>
        <v>0</v>
      </c>
      <c r="T39" s="3"/>
      <c r="U39" s="9">
        <f>Q39+R39</f>
        <v>0</v>
      </c>
      <c r="V39" s="9">
        <f>SUM(Q39:S39)</f>
        <v>0</v>
      </c>
      <c r="W39" s="3" t="s">
        <v>164</v>
      </c>
      <c r="X39" s="3"/>
    </row>
    <row r="40" spans="2:24" x14ac:dyDescent="0.2">
      <c r="B40" s="3"/>
      <c r="C40" s="3"/>
      <c r="D40" s="3"/>
      <c r="E40" s="3"/>
      <c r="F40" s="109"/>
      <c r="G40" s="139"/>
      <c r="H40" s="3"/>
      <c r="I40" s="111"/>
      <c r="J40" s="3"/>
      <c r="K40" s="3"/>
      <c r="L40" s="3"/>
      <c r="N40" s="3"/>
      <c r="O40" s="3"/>
      <c r="P40" s="3"/>
      <c r="Q40" s="9"/>
      <c r="R40" s="9"/>
      <c r="S40" s="9"/>
      <c r="T40" s="3"/>
      <c r="U40" s="9"/>
      <c r="V40" s="9"/>
      <c r="W40" s="3"/>
      <c r="X40" s="3"/>
    </row>
    <row r="41" spans="2:24" ht="14.25" x14ac:dyDescent="0.25">
      <c r="B41" s="3"/>
      <c r="C41" s="3"/>
      <c r="D41" s="8" t="s">
        <v>178</v>
      </c>
      <c r="E41" s="3"/>
      <c r="F41" s="109"/>
      <c r="G41" s="139"/>
      <c r="H41" s="3"/>
      <c r="I41" s="111"/>
      <c r="J41" s="3"/>
      <c r="K41" s="3"/>
      <c r="L41" s="3"/>
      <c r="N41" s="3"/>
      <c r="O41" s="133" t="str">
        <f>D41</f>
        <v>Gesteinskörnungen (Zuschlagsstoffe)</v>
      </c>
      <c r="P41" s="139"/>
      <c r="Q41" s="136">
        <f>SUM(Q42:Q44)</f>
        <v>0</v>
      </c>
      <c r="R41" s="136">
        <f t="shared" ref="R41:S41" si="5">SUM(R42:R44)</f>
        <v>0</v>
      </c>
      <c r="S41" s="136">
        <f t="shared" si="5"/>
        <v>387.03000000000003</v>
      </c>
      <c r="T41" s="139"/>
      <c r="U41" s="136">
        <f>Q41+R41</f>
        <v>0</v>
      </c>
      <c r="V41" s="136">
        <f>SUM(Q41:S41)</f>
        <v>387.03000000000003</v>
      </c>
      <c r="W41" s="133" t="s">
        <v>165</v>
      </c>
      <c r="X41" s="3"/>
    </row>
    <row r="42" spans="2:24" ht="15.75" x14ac:dyDescent="0.3">
      <c r="B42" s="3"/>
      <c r="C42" s="3"/>
      <c r="D42" s="3" t="s">
        <v>179</v>
      </c>
      <c r="E42" s="3"/>
      <c r="F42" s="109">
        <v>0.79800000000000004</v>
      </c>
      <c r="G42" s="139"/>
      <c r="H42" s="3"/>
      <c r="I42" s="148"/>
      <c r="J42" s="3"/>
      <c r="K42" s="3"/>
      <c r="L42" s="3"/>
      <c r="N42" s="3"/>
      <c r="O42" s="3" t="str">
        <f>D42</f>
        <v>Sand, Kies</v>
      </c>
      <c r="P42" s="3"/>
      <c r="Q42" s="9">
        <f>IF(NOT(ISBLANK($I42)),$I42,$F42)*IF(NOT(ISBLANK('Eingabe EF'!$I27)),'Eingabe EF'!$I27,'Eingabe EF'!$G27)*IF(NOT(ISBLANK($I$12)),$I$12,$F$12)</f>
        <v>0</v>
      </c>
      <c r="R42" s="9">
        <f>IF(NOT(ISBLANK($I42)),$I42,$F42)*IF(NOT(ISBLANK('Eingabe EF'!$M27)),'Eingabe EF'!$M27,'Eingabe EF'!$K27)*IF(NOT(ISBLANK($I$12)),$I$12,$F$12)</f>
        <v>0</v>
      </c>
      <c r="S42" s="9">
        <f>IF(NOT(ISBLANK($I42)),$I42,$F42)*IF(NOT(ISBLANK('Eingabe EF'!$Q27)),'Eingabe EF'!$Q27,'Eingabe EF'!$O27)*IF(NOT(ISBLANK($I$12)),$I$12,$F$12)</f>
        <v>387.03000000000003</v>
      </c>
      <c r="T42" s="3"/>
      <c r="U42" s="9">
        <f>Q42+R42</f>
        <v>0</v>
      </c>
      <c r="V42" s="9">
        <f>SUM(Q42:S42)</f>
        <v>387.03000000000003</v>
      </c>
      <c r="W42" s="3" t="s">
        <v>164</v>
      </c>
      <c r="X42" s="3"/>
    </row>
    <row r="43" spans="2:24" ht="15.75" x14ac:dyDescent="0.3">
      <c r="B43" s="3"/>
      <c r="C43" s="3"/>
      <c r="D43" s="3" t="s">
        <v>180</v>
      </c>
      <c r="E43" s="3"/>
      <c r="F43" s="109">
        <v>0</v>
      </c>
      <c r="G43" s="139"/>
      <c r="H43" s="3"/>
      <c r="I43" s="148"/>
      <c r="J43" s="3"/>
      <c r="K43" s="147"/>
      <c r="L43" s="3"/>
      <c r="N43" s="3"/>
      <c r="O43" s="3" t="str">
        <f>D43</f>
        <v>Brechsand, Splitt</v>
      </c>
      <c r="P43" s="3"/>
      <c r="Q43" s="9">
        <f>IF(NOT(ISBLANK($I43)),$I43,$F43)*IF(NOT(ISBLANK('Eingabe EF'!$I28)),'Eingabe EF'!$I28,0)*IF(NOT(ISBLANK($I$12)),$I$12,$F$12)</f>
        <v>0</v>
      </c>
      <c r="R43" s="9">
        <f>IF(NOT(ISBLANK($I43)),$I43,$F43)*IF(NOT(ISBLANK('Eingabe EF'!$M28)),'Eingabe EF'!$M28,0)*IF(NOT(ISBLANK($I$12)),$I$12,$F$12)</f>
        <v>0</v>
      </c>
      <c r="S43" s="9">
        <f>IF(NOT(ISBLANK($I43)),$I43,$F43)*IF(NOT(ISBLANK('Eingabe EF'!$Q28)),'Eingabe EF'!$Q28,0)*IF(NOT(ISBLANK($I$12)),$I$12,$F$12)</f>
        <v>0</v>
      </c>
      <c r="T43" s="3"/>
      <c r="U43" s="9">
        <f>Q43+R43</f>
        <v>0</v>
      </c>
      <c r="V43" s="9">
        <f t="shared" ref="V43:V44" si="6">SUM(Q43:S43)</f>
        <v>0</v>
      </c>
      <c r="W43" s="3" t="s">
        <v>164</v>
      </c>
      <c r="X43" s="3"/>
    </row>
    <row r="44" spans="2:24" ht="15.75" x14ac:dyDescent="0.3">
      <c r="B44" s="3"/>
      <c r="C44" s="3"/>
      <c r="D44" s="3" t="s">
        <v>181</v>
      </c>
      <c r="E44" s="3"/>
      <c r="F44" s="109">
        <v>0</v>
      </c>
      <c r="G44" s="139"/>
      <c r="H44" s="3"/>
      <c r="I44" s="148"/>
      <c r="J44" s="3"/>
      <c r="K44" s="147"/>
      <c r="L44" s="3"/>
      <c r="N44" s="3"/>
      <c r="O44" s="3" t="str">
        <f>D44</f>
        <v>RC-Material (Sand, Splitt)</v>
      </c>
      <c r="P44" s="3"/>
      <c r="Q44" s="9">
        <f>IF(NOT(ISBLANK($I44)),$I44,$F44)*IF(NOT(ISBLANK('Eingabe EF'!$I29)),'Eingabe EF'!$I29,0)*IF(NOT(ISBLANK($I$12)),$I$12,$F$12)</f>
        <v>0</v>
      </c>
      <c r="R44" s="9">
        <f>IF(NOT(ISBLANK($I44)),$I44,$F44)*IF(NOT(ISBLANK('Eingabe EF'!$M29)),'Eingabe EF'!$M29,0)*IF(NOT(ISBLANK($I$12)),$I$12,$F$12)</f>
        <v>0</v>
      </c>
      <c r="S44" s="9">
        <f>IF(NOT(ISBLANK($I44)),$I44,$F44)*IF(NOT(ISBLANK('Eingabe EF'!$Q29)),'Eingabe EF'!$Q29,0)*IF(NOT(ISBLANK($I$12)),$I$12,$F$12)</f>
        <v>0</v>
      </c>
      <c r="T44" s="3"/>
      <c r="U44" s="9">
        <f>Q44+R44</f>
        <v>0</v>
      </c>
      <c r="V44" s="9">
        <f t="shared" si="6"/>
        <v>0</v>
      </c>
      <c r="W44" s="3" t="s">
        <v>164</v>
      </c>
      <c r="X44" s="3"/>
    </row>
    <row r="45" spans="2:24" x14ac:dyDescent="0.2">
      <c r="B45" s="3"/>
      <c r="C45" s="3"/>
      <c r="D45" s="3"/>
      <c r="E45" s="3"/>
      <c r="F45" s="109"/>
      <c r="G45" s="139"/>
      <c r="H45" s="3"/>
      <c r="I45" s="111"/>
      <c r="J45" s="3"/>
      <c r="K45" s="3"/>
      <c r="L45" s="3"/>
      <c r="N45" s="3"/>
      <c r="O45" s="3"/>
      <c r="P45" s="3"/>
      <c r="Q45" s="9"/>
      <c r="R45" s="9"/>
      <c r="S45" s="9"/>
      <c r="T45" s="3"/>
      <c r="U45" s="9"/>
      <c r="V45" s="9"/>
      <c r="W45" s="3"/>
      <c r="X45" s="3"/>
    </row>
    <row r="46" spans="2:24" ht="14.25" x14ac:dyDescent="0.25">
      <c r="B46" s="3"/>
      <c r="C46" s="3"/>
      <c r="D46" s="3" t="s">
        <v>58</v>
      </c>
      <c r="E46" s="3"/>
      <c r="F46" s="109">
        <v>4.0000000000000001E-3</v>
      </c>
      <c r="G46" s="139"/>
      <c r="H46" s="3"/>
      <c r="I46" s="148"/>
      <c r="J46" s="3"/>
      <c r="K46" s="3"/>
      <c r="L46" s="3"/>
      <c r="N46" s="3"/>
      <c r="O46" s="8" t="str">
        <f>D46</f>
        <v>Farben</v>
      </c>
      <c r="P46" s="8"/>
      <c r="Q46" s="82">
        <f>IF(NOT(ISBLANK($I46)),$I46,$F46)*IF(NOT(ISBLANK('Eingabe EF'!$I31)),'Eingabe EF'!$I31,'Eingabe EF'!$G31)*IF(NOT(ISBLANK($I$12)),$I$12,$F$12)</f>
        <v>0</v>
      </c>
      <c r="R46" s="82">
        <f>IF(NOT(ISBLANK($I46)),$I46,$F46)*IF(NOT(ISBLANK('Eingabe EF'!$M31)),'Eingabe EF'!$M31,'Eingabe EF'!$K31)*IF(NOT(ISBLANK($I$12)),$I$12,$F$12)</f>
        <v>0</v>
      </c>
      <c r="S46" s="82">
        <f>IF(NOT(ISBLANK($I46)),$I46,$F46)*IF(NOT(ISBLANK('Eingabe EF'!$Q31)),'Eingabe EF'!$Q31,'Eingabe EF'!$O31)*IF(NOT(ISBLANK($I$12)),$I$12,$F$12)</f>
        <v>1040</v>
      </c>
      <c r="T46" s="8"/>
      <c r="U46" s="82">
        <f>Q46+R46</f>
        <v>0</v>
      </c>
      <c r="V46" s="82">
        <f>SUM(Q46:S46)</f>
        <v>1040</v>
      </c>
      <c r="W46" s="8" t="s">
        <v>165</v>
      </c>
      <c r="X46" s="3"/>
    </row>
    <row r="47" spans="2:24" x14ac:dyDescent="0.2">
      <c r="B47" s="3"/>
      <c r="C47" s="3"/>
      <c r="D47" s="3"/>
      <c r="E47" s="3"/>
      <c r="F47" s="139"/>
      <c r="G47" s="139"/>
      <c r="H47" s="3"/>
      <c r="I47" s="3"/>
      <c r="J47" s="3"/>
      <c r="K47" s="3"/>
      <c r="L47" s="3"/>
      <c r="N47" s="3"/>
      <c r="O47" s="3"/>
      <c r="P47" s="3"/>
      <c r="Q47" s="9"/>
      <c r="R47" s="9"/>
      <c r="S47" s="9"/>
      <c r="T47" s="3"/>
      <c r="U47" s="9"/>
      <c r="V47" s="9"/>
      <c r="W47" s="3"/>
      <c r="X47" s="3"/>
    </row>
    <row r="48" spans="2:24" ht="14.25" x14ac:dyDescent="0.25">
      <c r="B48" s="3"/>
      <c r="C48" s="3"/>
      <c r="D48" s="8" t="s">
        <v>182</v>
      </c>
      <c r="E48" s="3"/>
      <c r="F48" s="139"/>
      <c r="G48" s="139"/>
      <c r="H48" s="3"/>
      <c r="I48" s="3"/>
      <c r="J48" s="3"/>
      <c r="K48" s="3"/>
      <c r="L48" s="3"/>
      <c r="N48" s="3"/>
      <c r="O48" s="133" t="str">
        <f>D48</f>
        <v>Zusatzstoffe (Füllstoffe)</v>
      </c>
      <c r="P48" s="139"/>
      <c r="Q48" s="136">
        <f>SUM(Q49:Q51)</f>
        <v>0</v>
      </c>
      <c r="R48" s="136">
        <f>SUM(R49:R51)</f>
        <v>0</v>
      </c>
      <c r="S48" s="136">
        <f>SUM(S49:S51)</f>
        <v>424.19999999999993</v>
      </c>
      <c r="T48" s="139"/>
      <c r="U48" s="136">
        <f>Q48+R48</f>
        <v>0</v>
      </c>
      <c r="V48" s="136">
        <f>SUM(Q48:S48)</f>
        <v>424.19999999999993</v>
      </c>
      <c r="W48" s="133" t="s">
        <v>165</v>
      </c>
      <c r="X48" s="3"/>
    </row>
    <row r="49" spans="2:24" ht="15.75" x14ac:dyDescent="0.3">
      <c r="B49" s="3"/>
      <c r="C49" s="3"/>
      <c r="D49" s="148" t="s">
        <v>60</v>
      </c>
      <c r="E49" s="3"/>
      <c r="F49" s="109">
        <v>1.7999999999999999E-2</v>
      </c>
      <c r="G49" s="139"/>
      <c r="H49" s="3"/>
      <c r="I49" s="148"/>
      <c r="J49" s="3"/>
      <c r="K49" s="3"/>
      <c r="L49" s="3"/>
      <c r="N49" s="3"/>
      <c r="O49" s="3" t="str">
        <f>D49</f>
        <v>Flugasche</v>
      </c>
      <c r="P49" s="3"/>
      <c r="Q49" s="9">
        <f>IF(NOT(ISBLANK($I49)),$I49,$F49)*IF(NOT(ISBLANK('Eingabe EF'!$I34)),'Eingabe EF'!$I34,'Eingabe EF'!$G34)*IF(NOT(ISBLANK($I$12)),$I$12,$F$12)</f>
        <v>0</v>
      </c>
      <c r="R49" s="9">
        <f>IF(NOT(ISBLANK($I49)),$I49,$F49)*IF(NOT(ISBLANK('Eingabe EF'!$M34)),'Eingabe EF'!$M34,'Eingabe EF'!$K34)*IF(NOT(ISBLANK($I$12)),$I$12,$F$12)</f>
        <v>0</v>
      </c>
      <c r="S49" s="9">
        <f>IF(NOT(ISBLANK($I49)),$I49,$F49)*IF(NOT(ISBLANK('Eingabe EF'!$Q34)),'Eingabe EF'!$Q34,'Eingabe EF'!$O34)*IF(NOT(ISBLANK($I$12)),$I$12,$F$12)</f>
        <v>356.4</v>
      </c>
      <c r="T49" s="3"/>
      <c r="U49" s="9">
        <f>Q49+R49</f>
        <v>0</v>
      </c>
      <c r="V49" s="9">
        <f>SUM(Q49:S49)</f>
        <v>356.4</v>
      </c>
      <c r="W49" s="3" t="s">
        <v>164</v>
      </c>
      <c r="X49" s="3"/>
    </row>
    <row r="50" spans="2:24" ht="15.75" x14ac:dyDescent="0.3">
      <c r="B50" s="3"/>
      <c r="C50" s="3"/>
      <c r="D50" s="148" t="s">
        <v>61</v>
      </c>
      <c r="E50" s="3"/>
      <c r="F50" s="109">
        <v>0</v>
      </c>
      <c r="G50" s="139"/>
      <c r="H50" s="3"/>
      <c r="I50" s="148"/>
      <c r="J50" s="3"/>
      <c r="K50" s="3"/>
      <c r="L50" s="3"/>
      <c r="N50" s="3"/>
      <c r="O50" s="3" t="str">
        <f>D50</f>
        <v>Quarzsteinmehl</v>
      </c>
      <c r="P50" s="3"/>
      <c r="Q50" s="9">
        <f>IF(NOT(ISBLANK($I50)),$I50,$F50)*IF(NOT(ISBLANK('Eingabe EF'!$I35)),'Eingabe EF'!$I35,'Eingabe EF'!$G35)*IF(NOT(ISBLANK($I$12)),$I$12,$F$12)</f>
        <v>0</v>
      </c>
      <c r="R50" s="9">
        <f>IF(NOT(ISBLANK($I50)),$I50,$F50)*IF(NOT(ISBLANK('Eingabe EF'!$M35)),'Eingabe EF'!$M35,'Eingabe EF'!$K35)*IF(NOT(ISBLANK($I$12)),$I$12,$F$12)</f>
        <v>0</v>
      </c>
      <c r="S50" s="9">
        <f>IF(NOT(ISBLANK($I50)),$I50,$F50)*IF(NOT(ISBLANK('Eingabe EF'!$Q35)),'Eingabe EF'!$Q35,'Eingabe EF'!$O35)*IF(NOT(ISBLANK($I$12)),$I$12,$F$12)</f>
        <v>0</v>
      </c>
      <c r="T50" s="3"/>
      <c r="U50" s="9">
        <f>Q50+R50</f>
        <v>0</v>
      </c>
      <c r="V50" s="9">
        <f>SUM(Q50:S50)</f>
        <v>0</v>
      </c>
      <c r="W50" s="3" t="s">
        <v>164</v>
      </c>
      <c r="X50" s="3"/>
    </row>
    <row r="51" spans="2:24" ht="15.75" x14ac:dyDescent="0.3">
      <c r="B51" s="3"/>
      <c r="C51" s="3"/>
      <c r="D51" s="148" t="s">
        <v>62</v>
      </c>
      <c r="E51" s="3"/>
      <c r="F51" s="109">
        <v>1.4999999999999999E-2</v>
      </c>
      <c r="G51" s="139"/>
      <c r="H51" s="3"/>
      <c r="I51" s="148"/>
      <c r="J51" s="3"/>
      <c r="K51" s="3"/>
      <c r="L51" s="3"/>
      <c r="N51" s="3"/>
      <c r="O51" s="3" t="str">
        <f>D51</f>
        <v>Kalksteinmehl</v>
      </c>
      <c r="P51" s="3"/>
      <c r="Q51" s="9">
        <f>IF(NOT(ISBLANK($I51)),$I51,$F51)*IF(NOT(ISBLANK('Eingabe EF'!$I36)),'Eingabe EF'!$I36,'Eingabe EF'!$G36)*IF(NOT(ISBLANK($I$12)),$I$12,$F$12)</f>
        <v>0</v>
      </c>
      <c r="R51" s="9">
        <f>IF(NOT(ISBLANK($I51)),$I51,$F51)*IF(NOT(ISBLANK('Eingabe EF'!$M36)),'Eingabe EF'!$M36,'Eingabe EF'!$K36)*IF(NOT(ISBLANK($I$12)),$I$12,$F$12)</f>
        <v>0</v>
      </c>
      <c r="S51" s="9">
        <f>IF(NOT(ISBLANK($I51)),$I51,$F51)*IF(NOT(ISBLANK('Eingabe EF'!$Q36)),'Eingabe EF'!$Q36,'Eingabe EF'!$O36)*IF(NOT(ISBLANK($I$12)),$I$12,$F$12)</f>
        <v>67.799999999999983</v>
      </c>
      <c r="T51" s="3"/>
      <c r="U51" s="9">
        <f>Q51+R51</f>
        <v>0</v>
      </c>
      <c r="V51" s="9">
        <f>SUM(Q51:S51)</f>
        <v>67.799999999999983</v>
      </c>
      <c r="W51" s="3" t="s">
        <v>164</v>
      </c>
      <c r="X51" s="3"/>
    </row>
    <row r="52" spans="2:24" x14ac:dyDescent="0.2">
      <c r="B52" s="3"/>
      <c r="C52" s="3"/>
      <c r="D52" s="3"/>
      <c r="E52" s="3"/>
      <c r="F52" s="139"/>
      <c r="G52" s="139"/>
      <c r="H52" s="3"/>
      <c r="I52" s="3"/>
      <c r="J52" s="3"/>
      <c r="K52" s="3"/>
      <c r="L52" s="3"/>
      <c r="N52" s="3"/>
      <c r="O52" s="3"/>
      <c r="P52" s="3"/>
      <c r="Q52" s="9"/>
      <c r="R52" s="9"/>
      <c r="S52" s="9"/>
      <c r="T52" s="3"/>
      <c r="U52" s="9"/>
      <c r="V52" s="9"/>
      <c r="W52" s="3"/>
      <c r="X52" s="3"/>
    </row>
    <row r="53" spans="2:24" ht="14.25" x14ac:dyDescent="0.25">
      <c r="B53" s="3"/>
      <c r="C53" s="3"/>
      <c r="D53" s="8" t="s">
        <v>52</v>
      </c>
      <c r="E53" s="3"/>
      <c r="F53" s="112">
        <v>1E-3</v>
      </c>
      <c r="G53" s="139"/>
      <c r="H53" s="3"/>
      <c r="I53" s="148"/>
      <c r="J53" s="3"/>
      <c r="K53" s="147"/>
      <c r="L53" s="3"/>
      <c r="N53" s="3"/>
      <c r="O53" s="133" t="s">
        <v>52</v>
      </c>
      <c r="P53" s="139"/>
      <c r="Q53" s="136">
        <f>SUM(Q54:Q57)</f>
        <v>0</v>
      </c>
      <c r="R53" s="136">
        <f>SUM(R54:R57)</f>
        <v>0</v>
      </c>
      <c r="S53" s="136">
        <f>SUM(S54:S57)</f>
        <v>185.55932668689491</v>
      </c>
      <c r="T53" s="139"/>
      <c r="U53" s="136">
        <f>Q53+R53</f>
        <v>0</v>
      </c>
      <c r="V53" s="136">
        <f>SUM(Q53:S53)</f>
        <v>185.55932668689491</v>
      </c>
      <c r="W53" s="133" t="s">
        <v>165</v>
      </c>
      <c r="X53" s="3"/>
    </row>
    <row r="54" spans="2:24" s="366" customFormat="1" ht="15.75" x14ac:dyDescent="0.2">
      <c r="B54" s="15"/>
      <c r="C54" s="15"/>
      <c r="D54" s="148" t="s">
        <v>471</v>
      </c>
      <c r="E54" s="15"/>
      <c r="F54" s="363">
        <v>0.39213986418147667</v>
      </c>
      <c r="G54" s="362" t="s">
        <v>54</v>
      </c>
      <c r="H54" s="15"/>
      <c r="I54" s="364"/>
      <c r="J54" s="15" t="s">
        <v>54</v>
      </c>
      <c r="K54" s="365"/>
      <c r="L54" s="15"/>
      <c r="N54" s="15"/>
      <c r="O54" s="14" t="str">
        <f>D54</f>
        <v>Plastifizierer</v>
      </c>
      <c r="P54" s="15"/>
      <c r="Q54" s="79">
        <f>IF(NOT(ISBLANK($I$53)),$I$53,$F$53)*IF(NOT(ISBLANK($I54)),$I54,$F54)*IF(NOT(ISBLANK('Eingabe EF'!$I39)),'Eingabe EF'!$I39,'Eingabe EF'!$G39)*IF(NOT(ISBLANK($I$12)),$I$12,$F$12)</f>
        <v>0</v>
      </c>
      <c r="R54" s="79">
        <f>IF(NOT(ISBLANK($I$53)),$I$53,$F$53)*IF(NOT(ISBLANK($I54)),$I54,$F54)*IF(NOT(ISBLANK('Eingabe EF'!$M39)),'Eingabe EF'!$M39,'Eingabe EF'!$K39)*IF(NOT(ISBLANK($I$12)),$I$12,$F$12)</f>
        <v>0</v>
      </c>
      <c r="S54" s="79">
        <f>IF(NOT(ISBLANK($I$53)),$I$53,$F$53)*IF(NOT(ISBLANK($I54)),$I54,$F54)*IF(NOT(ISBLANK('Eingabe EF'!$Q39)),'Eingabe EF'!$Q39,'Eingabe EF'!$O39)*IF(NOT(ISBLANK($I$12)),$I$12,$F$12)</f>
        <v>59.997399219765924</v>
      </c>
      <c r="T54" s="15"/>
      <c r="U54" s="79">
        <f>Q54+R54</f>
        <v>0</v>
      </c>
      <c r="V54" s="79">
        <f>SUM(Q54:S54)</f>
        <v>59.997399219765924</v>
      </c>
      <c r="W54" s="15" t="s">
        <v>164</v>
      </c>
      <c r="X54" s="15"/>
    </row>
    <row r="55" spans="2:24" s="366" customFormat="1" ht="15.75" x14ac:dyDescent="0.2">
      <c r="B55" s="15"/>
      <c r="C55" s="15"/>
      <c r="D55" s="148" t="s">
        <v>472</v>
      </c>
      <c r="E55" s="15"/>
      <c r="F55" s="363">
        <v>0.164571593700332</v>
      </c>
      <c r="G55" s="362" t="s">
        <v>54</v>
      </c>
      <c r="H55" s="15"/>
      <c r="I55" s="364"/>
      <c r="J55" s="15" t="s">
        <v>54</v>
      </c>
      <c r="K55" s="365"/>
      <c r="L55" s="15"/>
      <c r="N55" s="15"/>
      <c r="O55" s="14" t="str">
        <f t="shared" ref="O55:O57" si="7">D55</f>
        <v>Luftporenbildner</v>
      </c>
      <c r="P55" s="15"/>
      <c r="Q55" s="79">
        <f>IF(NOT(ISBLANK($I$53)),$I$53,$F$53)*IF(NOT(ISBLANK($I55)),$I55,$F55)*IF(NOT(ISBLANK('Eingabe EF'!$I40)),'Eingabe EF'!$I40,'Eingabe EF'!$G40)*IF(NOT(ISBLANK($I$12)),$I$12,$F$12)</f>
        <v>0</v>
      </c>
      <c r="R55" s="79">
        <f>IF(NOT(ISBLANK($I$53)),$I$53,$F$53)*IF(NOT(ISBLANK($I55)),$I55,$F55)*IF(NOT(ISBLANK('Eingabe EF'!$M40)),'Eingabe EF'!$M40,'Eingabe EF'!$K40)*IF(NOT(ISBLANK($I$12)),$I$12,$F$12)</f>
        <v>0</v>
      </c>
      <c r="S55" s="79">
        <f>IF(NOT(ISBLANK($I$53)),$I$53,$F$53)*IF(NOT(ISBLANK($I55)),$I55,$F55)*IF(NOT(ISBLANK('Eingabe EF'!$Q40)),'Eingabe EF'!$Q40,'Eingabe EF'!$O40)*IF(NOT(ISBLANK($I$12)),$I$12,$F$12)</f>
        <v>7.224692963444574</v>
      </c>
      <c r="T55" s="15"/>
      <c r="U55" s="79">
        <f>Q55+R55</f>
        <v>0</v>
      </c>
      <c r="V55" s="79">
        <f>SUM(Q55:S55)</f>
        <v>7.224692963444574</v>
      </c>
      <c r="W55" s="15" t="s">
        <v>164</v>
      </c>
      <c r="X55" s="15"/>
    </row>
    <row r="56" spans="2:24" s="366" customFormat="1" ht="15.75" x14ac:dyDescent="0.2">
      <c r="B56" s="15"/>
      <c r="C56" s="15"/>
      <c r="D56" s="148" t="s">
        <v>473</v>
      </c>
      <c r="E56" s="15"/>
      <c r="F56" s="363">
        <v>1.4448779078167896E-4</v>
      </c>
      <c r="G56" s="362" t="s">
        <v>54</v>
      </c>
      <c r="H56" s="15"/>
      <c r="I56" s="364"/>
      <c r="J56" s="15" t="s">
        <v>54</v>
      </c>
      <c r="K56" s="365"/>
      <c r="L56" s="15"/>
      <c r="N56" s="15"/>
      <c r="O56" s="14" t="str">
        <f t="shared" si="7"/>
        <v>Stabilisierer</v>
      </c>
      <c r="P56" s="15"/>
      <c r="Q56" s="79">
        <f>IF(NOT(ISBLANK($I$53)),$I$53,$F$53)*IF(NOT(ISBLANK($I56)),$I56,$F56)*IF(NOT(ISBLANK('Eingabe EF'!$I41)),'Eingabe EF'!$I41,'Eingabe EF'!$G41)*IF(NOT(ISBLANK($I$12)),$I$12,$F$12)</f>
        <v>0</v>
      </c>
      <c r="R56" s="79">
        <f>IF(NOT(ISBLANK($I$53)),$I$53,$F$53)*IF(NOT(ISBLANK($I56)),$I56,$F56)*IF(NOT(ISBLANK('Eingabe EF'!$M41)),'Eingabe EF'!$M41,'Eingabe EF'!$K41)*IF(NOT(ISBLANK($I$12)),$I$12,$F$12)</f>
        <v>0</v>
      </c>
      <c r="S56" s="79">
        <f>IF(NOT(ISBLANK($I$53)),$I$53,$F$53)*IF(NOT(ISBLANK($I56)),$I56,$F56)*IF(NOT(ISBLANK('Eingabe EF'!$Q41)),'Eingabe EF'!$Q41,'Eingabe EF'!$O41)*IF(NOT(ISBLANK($I$12)),$I$12,$F$12)</f>
        <v>1.7771998266146515E-2</v>
      </c>
      <c r="T56" s="15"/>
      <c r="U56" s="79">
        <f>Q56+R56</f>
        <v>0</v>
      </c>
      <c r="V56" s="79">
        <f>SUM(Q56:S56)</f>
        <v>1.7771998266146515E-2</v>
      </c>
      <c r="W56" s="15" t="s">
        <v>164</v>
      </c>
      <c r="X56" s="15"/>
    </row>
    <row r="57" spans="2:24" s="366" customFormat="1" ht="15.75" x14ac:dyDescent="0.2">
      <c r="B57" s="15"/>
      <c r="C57" s="15"/>
      <c r="D57" s="148" t="s">
        <v>474</v>
      </c>
      <c r="E57" s="15"/>
      <c r="F57" s="363">
        <v>0.44314405432740933</v>
      </c>
      <c r="G57" s="362" t="s">
        <v>54</v>
      </c>
      <c r="H57" s="15"/>
      <c r="I57" s="364"/>
      <c r="J57" s="15" t="s">
        <v>54</v>
      </c>
      <c r="K57" s="365"/>
      <c r="L57" s="15"/>
      <c r="N57" s="15"/>
      <c r="O57" s="14" t="str">
        <f t="shared" si="7"/>
        <v>Hydrophobierer</v>
      </c>
      <c r="P57" s="15"/>
      <c r="Q57" s="79">
        <f>IF(NOT(ISBLANK($I$53)),$I$53,$F$53)*IF(NOT(ISBLANK($I57)),$I57,$F57)*IF(NOT(ISBLANK('Eingabe EF'!$I42)),'Eingabe EF'!$I42,'Eingabe EF'!$G42)*IF(NOT(ISBLANK($I$12)),$I$12,$F$12)</f>
        <v>0</v>
      </c>
      <c r="R57" s="79">
        <f>IF(NOT(ISBLANK($I$53)),$I$53,$F$53)*IF(NOT(ISBLANK($I57)),$I57,$F57)*IF(NOT(ISBLANK('Eingabe EF'!$M42)),'Eingabe EF'!$M42,'Eingabe EF'!$K42)*IF(NOT(ISBLANK($I$12)),$I$12,$F$12)</f>
        <v>0</v>
      </c>
      <c r="S57" s="79">
        <f>IF(NOT(ISBLANK($I$53)),$I$53,$F$53)*IF(NOT(ISBLANK($I57)),$I57,$F57)*IF(NOT(ISBLANK('Eingabe EF'!$Q42)),'Eingabe EF'!$Q42,'Eingabe EF'!$O42)*IF(NOT(ISBLANK($I$12)),$I$12,$F$12)</f>
        <v>118.31946250541829</v>
      </c>
      <c r="T57" s="15"/>
      <c r="U57" s="79">
        <f>Q57+R57</f>
        <v>0</v>
      </c>
      <c r="V57" s="79">
        <f>SUM(Q57:S57)</f>
        <v>118.31946250541829</v>
      </c>
      <c r="W57" s="15" t="s">
        <v>164</v>
      </c>
      <c r="X57" s="15"/>
    </row>
    <row r="58" spans="2:24" x14ac:dyDescent="0.2">
      <c r="B58" s="3"/>
      <c r="C58" s="3"/>
      <c r="D58" s="3"/>
      <c r="E58" s="3"/>
      <c r="F58" s="109"/>
      <c r="G58" s="139"/>
      <c r="H58" s="3"/>
      <c r="I58" s="111"/>
      <c r="J58" s="3"/>
      <c r="K58" s="3"/>
      <c r="L58" s="3"/>
      <c r="N58" s="3"/>
      <c r="O58" s="3"/>
      <c r="P58" s="3"/>
      <c r="Q58" s="9"/>
      <c r="R58" s="9"/>
      <c r="S58" s="9"/>
      <c r="T58" s="3"/>
      <c r="U58" s="9"/>
      <c r="V58" s="9"/>
      <c r="W58" s="3"/>
      <c r="X58" s="3"/>
    </row>
    <row r="59" spans="2:24" ht="15" x14ac:dyDescent="0.25">
      <c r="B59" s="3"/>
      <c r="C59" s="3"/>
      <c r="D59" s="3" t="s">
        <v>113</v>
      </c>
      <c r="E59" s="3"/>
      <c r="F59" s="109">
        <v>3.5000000000000003E-2</v>
      </c>
      <c r="G59" s="139"/>
      <c r="H59" s="3"/>
      <c r="I59" s="148"/>
      <c r="J59" s="3"/>
      <c r="K59" s="3"/>
      <c r="L59" s="3"/>
      <c r="N59" s="3"/>
      <c r="O59" s="8" t="s">
        <v>204</v>
      </c>
      <c r="P59" s="8"/>
      <c r="Q59" s="82">
        <f>IF(NOT(ISBLANK($I59)),$I59,$F59)*IF(NOT(ISBLANK('Eingabe EF'!$I44)),'Eingabe EF'!$I44,'Eingabe EF'!$G44)*IF(NOT(ISBLANK($I$12)),$I$12,$F$12)</f>
        <v>0</v>
      </c>
      <c r="R59" s="82">
        <f>IF(NOT(ISBLANK($I59)),$I59,$F59)*IF(NOT(ISBLANK('Eingabe EF'!$M44)),'Eingabe EF'!$M44,0)*IF(NOT(ISBLANK($I$12)),$I$12,$F$12)</f>
        <v>0</v>
      </c>
      <c r="S59" s="82">
        <f>IF(NOT(ISBLANK($I59)),$I59,$F59)*IF(NOT(ISBLANK('Eingabe EF'!$Q44)),'Eingabe EF'!$Q44,0)*IF(NOT(ISBLANK($I$12)),$I$12,$F$12)</f>
        <v>0</v>
      </c>
      <c r="T59" s="8"/>
      <c r="U59" s="82">
        <f>Q59+R59</f>
        <v>0</v>
      </c>
      <c r="V59" s="82">
        <f>SUM(Q59:S59)</f>
        <v>0</v>
      </c>
      <c r="W59" s="8" t="s">
        <v>165</v>
      </c>
      <c r="X59" s="3"/>
    </row>
    <row r="60" spans="2:24" ht="14.25" x14ac:dyDescent="0.25">
      <c r="B60" s="3"/>
      <c r="C60" s="3"/>
      <c r="D60" s="3" t="s">
        <v>65</v>
      </c>
      <c r="E60" s="3"/>
      <c r="F60" s="139">
        <v>200</v>
      </c>
      <c r="G60" s="139" t="s">
        <v>66</v>
      </c>
      <c r="H60" s="3"/>
      <c r="I60" s="113"/>
      <c r="J60" s="3" t="s">
        <v>66</v>
      </c>
      <c r="K60" s="3"/>
      <c r="L60" s="3"/>
      <c r="N60" s="3"/>
      <c r="O60" s="8" t="s">
        <v>65</v>
      </c>
      <c r="P60" s="8"/>
      <c r="Q60" s="82">
        <f>IF(NOT(ISBLANK($I60)),$I60,$F60)*IF(NOT(ISBLANK('Eingabe EF'!$I49)),'Eingabe EF'!$I49,'Eingabe EF'!$G49)*IF(NOT(ISBLANK($I$12)),$I$12,$F$12)</f>
        <v>0</v>
      </c>
      <c r="R60" s="82">
        <f>IF(NOT(ISBLANK($I60)),$I60,$F60)*IF(NOT(ISBLANK('Eingabe EF'!$M45)),'Eingabe EF'!$M45,'Eingabe EF'!$K45)</f>
        <v>0</v>
      </c>
      <c r="S60" s="142">
        <f>IF(NOT(ISBLANK($I60)),$I60,$F60)*IF(NOT(ISBLANK('Eingabe EF'!$Q45)),'Eingabe EF'!$Q45,'Eingabe EF'!$O45)</f>
        <v>5.4399999999999997E-2</v>
      </c>
      <c r="T60" s="8"/>
      <c r="U60" s="82">
        <f>Q60+R60</f>
        <v>0</v>
      </c>
      <c r="V60" s="142">
        <f>SUM(Q60:S60)</f>
        <v>5.4399999999999997E-2</v>
      </c>
      <c r="W60" s="8" t="s">
        <v>165</v>
      </c>
      <c r="X60" s="3"/>
    </row>
    <row r="61" spans="2:24" x14ac:dyDescent="0.2">
      <c r="B61" s="3"/>
      <c r="C61" s="3"/>
      <c r="D61" s="3"/>
      <c r="E61" s="3"/>
      <c r="F61" s="139"/>
      <c r="G61" s="139"/>
      <c r="H61" s="3"/>
      <c r="I61" s="3"/>
      <c r="J61" s="3"/>
      <c r="K61" s="3"/>
      <c r="L61" s="3"/>
      <c r="N61" s="3"/>
      <c r="O61" s="3"/>
      <c r="P61" s="3"/>
      <c r="Q61" s="10"/>
      <c r="R61" s="10"/>
      <c r="S61" s="10"/>
      <c r="T61" s="3"/>
      <c r="U61" s="9"/>
      <c r="V61" s="9"/>
      <c r="W61" s="3"/>
      <c r="X61" s="3"/>
    </row>
    <row r="62" spans="2:24" ht="14.25" x14ac:dyDescent="0.25">
      <c r="B62" s="3"/>
      <c r="C62" s="3"/>
      <c r="D62" s="8" t="s">
        <v>183</v>
      </c>
      <c r="E62" s="3"/>
      <c r="F62" s="139"/>
      <c r="G62" s="139"/>
      <c r="H62" s="3"/>
      <c r="I62" s="3"/>
      <c r="J62" s="3"/>
      <c r="K62" s="3"/>
      <c r="L62" s="3"/>
      <c r="N62" s="3"/>
      <c r="O62" s="133" t="str">
        <f>D62</f>
        <v>Oberflächenschutzsysteme</v>
      </c>
      <c r="P62" s="139"/>
      <c r="Q62" s="136">
        <f>SUM(Q63:Q65)</f>
        <v>0</v>
      </c>
      <c r="R62" s="136">
        <f>SUM(R63:R65)</f>
        <v>0</v>
      </c>
      <c r="S62" s="136">
        <f>SUM(S63:S65)</f>
        <v>0</v>
      </c>
      <c r="T62" s="139"/>
      <c r="U62" s="136">
        <f>Q62+R62</f>
        <v>0</v>
      </c>
      <c r="V62" s="136">
        <f>SUM(Q62:S62)</f>
        <v>0</v>
      </c>
      <c r="W62" s="133" t="s">
        <v>165</v>
      </c>
      <c r="X62" s="3"/>
    </row>
    <row r="63" spans="2:24" ht="15.75" x14ac:dyDescent="0.3">
      <c r="B63" s="3"/>
      <c r="C63" s="3"/>
      <c r="D63" s="3" t="s">
        <v>184</v>
      </c>
      <c r="E63" s="3"/>
      <c r="F63" s="109">
        <v>0</v>
      </c>
      <c r="G63" s="139"/>
      <c r="H63" s="3"/>
      <c r="I63" s="148"/>
      <c r="J63" s="3"/>
      <c r="K63" s="147"/>
      <c r="L63" s="3"/>
      <c r="N63" s="3"/>
      <c r="O63" s="3" t="str">
        <f>D63</f>
        <v>Hydrophobierung</v>
      </c>
      <c r="P63" s="3"/>
      <c r="Q63" s="9">
        <f>IF(NOT(ISBLANK($I63)),$I63,$F63)*IF(NOT(ISBLANK('Eingabe EF'!$I48)),'Eingabe EF'!$I48,0)*IF(NOT(ISBLANK($I$12)),$I$12,$F$12)</f>
        <v>0</v>
      </c>
      <c r="R63" s="9">
        <f>IF(NOT(ISBLANK($I63)),$I63,$F63)*IF(NOT(ISBLANK('Eingabe EF'!$M48)),'Eingabe EF'!$M48,0)*IF(NOT(ISBLANK($I$12)),$I$12,$F$12)</f>
        <v>0</v>
      </c>
      <c r="S63" s="9">
        <f>IF(NOT(ISBLANK($I63)),$I63,$F63)*IF(NOT(ISBLANK('Eingabe EF'!$Q48)),'Eingabe EF'!$Q48,0)*IF(NOT(ISBLANK($I$12)),$I$12,$F$12)</f>
        <v>0</v>
      </c>
      <c r="T63" s="3"/>
      <c r="U63" s="9">
        <f>Q63+R63</f>
        <v>0</v>
      </c>
      <c r="V63" s="9">
        <f>SUM(Q63:S63)</f>
        <v>0</v>
      </c>
      <c r="W63" s="3" t="s">
        <v>164</v>
      </c>
      <c r="X63" s="3"/>
    </row>
    <row r="64" spans="2:24" ht="15.75" x14ac:dyDescent="0.3">
      <c r="B64" s="3"/>
      <c r="C64" s="3"/>
      <c r="D64" s="3" t="s">
        <v>63</v>
      </c>
      <c r="E64" s="3"/>
      <c r="F64" s="109">
        <v>0</v>
      </c>
      <c r="G64" s="139"/>
      <c r="H64" s="3"/>
      <c r="I64" s="148"/>
      <c r="J64" s="3"/>
      <c r="K64" s="147"/>
      <c r="L64" s="3"/>
      <c r="N64" s="3"/>
      <c r="O64" s="3" t="str">
        <f>D64</f>
        <v>Imprägniermittel  (Aushärtung über Infrarot)</v>
      </c>
      <c r="P64" s="3"/>
      <c r="Q64" s="9">
        <f>IF(NOT(ISBLANK($I64)),$I64,$F64)*IF(NOT(ISBLANK('Eingabe EF'!$I49)),'Eingabe EF'!$I49,'Eingabe EF'!$G49)*IF(NOT(ISBLANK($I$12)),$I$12,$F$12)</f>
        <v>0</v>
      </c>
      <c r="R64" s="9">
        <f>IF(NOT(ISBLANK($I64)),$I64,$F64)*IF(NOT(ISBLANK('Eingabe EF'!$M49)),'Eingabe EF'!$M49,'Eingabe EF'!$K49)*IF(NOT(ISBLANK($I$12)),$I$12,$F$12)</f>
        <v>0</v>
      </c>
      <c r="S64" s="9">
        <f>IF(NOT(ISBLANK($I64)),$I64,$F64)*IF(NOT(ISBLANK('Eingabe EF'!$Q49)),'Eingabe EF'!$Q49,'Eingabe EF'!$O49)*IF(NOT(ISBLANK($I$12)),$I$12,$F$12)</f>
        <v>0</v>
      </c>
      <c r="T64" s="3"/>
      <c r="U64" s="9">
        <f>Q64+R64</f>
        <v>0</v>
      </c>
      <c r="V64" s="9">
        <f>SUM(Q64:S64)</f>
        <v>0</v>
      </c>
      <c r="W64" s="3" t="s">
        <v>164</v>
      </c>
      <c r="X64" s="3"/>
    </row>
    <row r="65" spans="2:24" ht="15.75" x14ac:dyDescent="0.3">
      <c r="B65" s="3"/>
      <c r="C65" s="3"/>
      <c r="D65" s="3" t="s">
        <v>185</v>
      </c>
      <c r="E65" s="3"/>
      <c r="F65" s="109">
        <v>0</v>
      </c>
      <c r="G65" s="139"/>
      <c r="H65" s="3"/>
      <c r="I65" s="148"/>
      <c r="J65" s="3"/>
      <c r="K65" s="147"/>
      <c r="L65" s="3"/>
      <c r="N65" s="3"/>
      <c r="O65" s="3" t="str">
        <f>D65</f>
        <v>Beschichtung</v>
      </c>
      <c r="P65" s="3"/>
      <c r="Q65" s="9">
        <f>IF(NOT(ISBLANK($I65)),$I65,$F65)*IF(NOT(ISBLANK('Eingabe EF'!$I50)),'Eingabe EF'!$I50,0)*IF(NOT(ISBLANK($I$12)),$I$12,$F$12)</f>
        <v>0</v>
      </c>
      <c r="R65" s="9">
        <f>IF(NOT(ISBLANK($I65)),$I65,$F65)*IF(NOT(ISBLANK('Eingabe EF'!$M50)),'Eingabe EF'!$M50,0)*IF(NOT(ISBLANK($I$12)),$I$12,$F$12)</f>
        <v>0</v>
      </c>
      <c r="S65" s="9">
        <f>IF(NOT(ISBLANK($I65)),$I65,$F65)*IF(NOT(ISBLANK('Eingabe EF'!$Q50)),'Eingabe EF'!$Q50,0)*IF(NOT(ISBLANK($I$12)),$I$12,$F$12)</f>
        <v>0</v>
      </c>
      <c r="T65" s="3"/>
      <c r="U65" s="9">
        <f>Q65+R65</f>
        <v>0</v>
      </c>
      <c r="V65" s="9">
        <f>SUM(Q65:S65)</f>
        <v>0</v>
      </c>
      <c r="W65" s="3" t="s">
        <v>164</v>
      </c>
      <c r="X65" s="3"/>
    </row>
    <row r="66" spans="2:24" x14ac:dyDescent="0.2">
      <c r="B66" s="3"/>
      <c r="C66" s="3"/>
      <c r="D66" s="3"/>
      <c r="E66" s="3"/>
      <c r="F66" s="139"/>
      <c r="G66" s="139"/>
      <c r="H66" s="3"/>
      <c r="I66" s="3"/>
      <c r="J66" s="3"/>
      <c r="K66" s="3"/>
      <c r="L66" s="3"/>
      <c r="N66" s="3"/>
      <c r="O66" s="3"/>
      <c r="P66" s="3"/>
      <c r="Q66" s="10"/>
      <c r="R66" s="10"/>
      <c r="S66" s="10"/>
      <c r="T66" s="3"/>
      <c r="U66" s="9"/>
      <c r="V66" s="9"/>
      <c r="W66" s="3"/>
      <c r="X66" s="3"/>
    </row>
    <row r="67" spans="2:24" ht="25.5" x14ac:dyDescent="0.2">
      <c r="B67" s="3"/>
      <c r="C67" s="3"/>
      <c r="D67" s="78" t="s">
        <v>186</v>
      </c>
      <c r="E67" s="15"/>
      <c r="F67" s="362"/>
      <c r="G67" s="362"/>
      <c r="H67" s="15"/>
      <c r="I67" s="3"/>
      <c r="J67" s="3"/>
      <c r="K67" s="3"/>
      <c r="L67" s="3"/>
      <c r="N67" s="3"/>
      <c r="O67" s="131" t="str">
        <f>D67</f>
        <v>Oberflächenbearbeitung (vor/nach Erhärtung)</v>
      </c>
      <c r="P67" s="362"/>
      <c r="Q67" s="134">
        <f>SUM(Q68:Q70)</f>
        <v>0</v>
      </c>
      <c r="R67" s="134">
        <f>SUM(R68:R70)</f>
        <v>0</v>
      </c>
      <c r="S67" s="134">
        <f>SUM(S68:S70)</f>
        <v>0</v>
      </c>
      <c r="T67" s="362"/>
      <c r="U67" s="134">
        <f>Q67+R67</f>
        <v>0</v>
      </c>
      <c r="V67" s="134">
        <f>SUM(Q67:S67)</f>
        <v>0</v>
      </c>
      <c r="W67" s="135" t="s">
        <v>165</v>
      </c>
      <c r="X67" s="3"/>
    </row>
    <row r="68" spans="2:24" ht="15.75" x14ac:dyDescent="0.3">
      <c r="B68" s="3"/>
      <c r="C68" s="3"/>
      <c r="D68" s="3" t="s">
        <v>67</v>
      </c>
      <c r="E68" s="3"/>
      <c r="F68" s="139">
        <v>0</v>
      </c>
      <c r="G68" s="139" t="s">
        <v>49</v>
      </c>
      <c r="H68" s="3"/>
      <c r="I68" s="113"/>
      <c r="J68" s="3" t="s">
        <v>49</v>
      </c>
      <c r="K68" s="3"/>
      <c r="L68" s="3"/>
      <c r="N68" s="3"/>
      <c r="O68" s="3" t="str">
        <f>D68</f>
        <v>Stahlkugeln (Strahlanlage)</v>
      </c>
      <c r="P68" s="3"/>
      <c r="Q68" s="9">
        <f>IF(NOT(ISBLANK($I68)),$I68,$F68)*IF(NOT(ISBLANK('Eingabe EF'!$I53)),'Eingabe EF'!$I53,'Eingabe EF'!$G53)</f>
        <v>0</v>
      </c>
      <c r="R68" s="9">
        <f>IF(NOT(ISBLANK($I68)),$I68,$F68)*IF(NOT(ISBLANK('Eingabe EF'!$M53)),'Eingabe EF'!$M53,'Eingabe EF'!$K53)</f>
        <v>0</v>
      </c>
      <c r="S68" s="9">
        <f>IF(NOT(ISBLANK($I68)),$I68,$F68)*IF(NOT(ISBLANK('Eingabe EF'!$Q53)),'Eingabe EF'!$Q53,'Eingabe EF'!$O53)</f>
        <v>0</v>
      </c>
      <c r="T68" s="3"/>
      <c r="U68" s="9">
        <f>Q68+R68</f>
        <v>0</v>
      </c>
      <c r="V68" s="9">
        <f>SUM(Q68:S68)</f>
        <v>0</v>
      </c>
      <c r="W68" s="3" t="s">
        <v>164</v>
      </c>
      <c r="X68" s="3"/>
    </row>
    <row r="69" spans="2:24" ht="15.75" x14ac:dyDescent="0.3">
      <c r="B69" s="3"/>
      <c r="C69" s="3"/>
      <c r="D69" s="3" t="s">
        <v>188</v>
      </c>
      <c r="E69" s="3"/>
      <c r="F69" s="139">
        <v>0</v>
      </c>
      <c r="G69" s="139" t="s">
        <v>49</v>
      </c>
      <c r="H69" s="3"/>
      <c r="I69" s="113"/>
      <c r="J69" s="3" t="s">
        <v>49</v>
      </c>
      <c r="K69" s="147"/>
      <c r="L69" s="3"/>
      <c r="N69" s="3"/>
      <c r="O69" s="3" t="str">
        <f>D69</f>
        <v>Weitere Materialen</v>
      </c>
      <c r="P69" s="3"/>
      <c r="Q69" s="9">
        <f>IF(NOT(ISBLANK($I69)),$I69,$F69)*IF(NOT(ISBLANK('Eingabe EF'!$I54)),'Eingabe EF'!$I54,0)</f>
        <v>0</v>
      </c>
      <c r="R69" s="9">
        <f>IF(NOT(ISBLANK($I69)),$I69,$F69)*IF(NOT(ISBLANK('Eingabe EF'!$M54)),'Eingabe EF'!$M54,0)</f>
        <v>0</v>
      </c>
      <c r="S69" s="9">
        <f>IF(NOT(ISBLANK($I69)),$I69,$F69)*IF(NOT(ISBLANK('Eingabe EF'!$Q54)),'Eingabe EF'!$Q54,0)</f>
        <v>0</v>
      </c>
      <c r="T69" s="3"/>
      <c r="U69" s="9">
        <f>Q69+R69</f>
        <v>0</v>
      </c>
      <c r="V69" s="9">
        <f>SUM(Q69:S69)</f>
        <v>0</v>
      </c>
      <c r="W69" s="3" t="s">
        <v>164</v>
      </c>
      <c r="X69" s="3"/>
    </row>
    <row r="70" spans="2:24" ht="15.75" x14ac:dyDescent="0.3">
      <c r="B70" s="3"/>
      <c r="C70" s="3"/>
      <c r="D70" s="3" t="s">
        <v>187</v>
      </c>
      <c r="E70" s="3"/>
      <c r="F70" s="139">
        <v>0</v>
      </c>
      <c r="G70" s="139" t="s">
        <v>49</v>
      </c>
      <c r="H70" s="3"/>
      <c r="I70" s="113"/>
      <c r="J70" s="3" t="s">
        <v>49</v>
      </c>
      <c r="K70" s="147"/>
      <c r="L70" s="3"/>
      <c r="N70" s="3"/>
      <c r="O70" s="3" t="str">
        <f>D70</f>
        <v>Oberflächenbearbeitungsarten</v>
      </c>
      <c r="P70" s="3"/>
      <c r="Q70" s="9">
        <f>IF(NOT(ISBLANK($I70)),$I70,$F70)*IF(NOT(ISBLANK('Eingabe EF'!$I55)),'Eingabe EF'!$I55,0)</f>
        <v>0</v>
      </c>
      <c r="R70" s="9">
        <f>IF(NOT(ISBLANK($I70)),$I70,$F70)*IF(NOT(ISBLANK('Eingabe EF'!$M55)),'Eingabe EF'!$M55,0)</f>
        <v>0</v>
      </c>
      <c r="S70" s="9">
        <f>IF(NOT(ISBLANK($I70)),$I70,$F70)*IF(NOT(ISBLANK('Eingabe EF'!$Q55)),'Eingabe EF'!$Q55,0)</f>
        <v>0</v>
      </c>
      <c r="T70" s="3"/>
      <c r="U70" s="9">
        <f>Q70+R70</f>
        <v>0</v>
      </c>
      <c r="V70" s="9">
        <f>SUM(Q70:S70)</f>
        <v>0</v>
      </c>
      <c r="W70" s="3" t="s">
        <v>164</v>
      </c>
      <c r="X70" s="3"/>
    </row>
    <row r="71" spans="2:24" x14ac:dyDescent="0.2">
      <c r="B71" s="3"/>
      <c r="C71" s="3"/>
      <c r="D71" s="3"/>
      <c r="E71" s="3"/>
      <c r="F71" s="139"/>
      <c r="G71" s="139"/>
      <c r="H71" s="3"/>
      <c r="I71" s="3"/>
      <c r="J71" s="3"/>
      <c r="K71" s="3"/>
      <c r="L71" s="3"/>
      <c r="N71" s="3"/>
      <c r="O71" s="3"/>
      <c r="P71" s="3"/>
      <c r="Q71" s="10"/>
      <c r="R71" s="10"/>
      <c r="S71" s="10"/>
      <c r="T71" s="3"/>
      <c r="U71" s="9"/>
      <c r="V71" s="9"/>
      <c r="W71" s="3"/>
      <c r="X71" s="3"/>
    </row>
    <row r="72" spans="2:24" ht="14.25" x14ac:dyDescent="0.25">
      <c r="B72" s="3"/>
      <c r="C72" s="3"/>
      <c r="D72" s="3" t="s">
        <v>64</v>
      </c>
      <c r="E72" s="3"/>
      <c r="F72" s="139">
        <v>200</v>
      </c>
      <c r="G72" s="139" t="s">
        <v>49</v>
      </c>
      <c r="H72" s="3"/>
      <c r="I72" s="113"/>
      <c r="J72" s="3" t="s">
        <v>49</v>
      </c>
      <c r="K72" s="3"/>
      <c r="L72" s="3"/>
      <c r="N72" s="3"/>
      <c r="O72" s="8" t="str">
        <f>D72</f>
        <v>Verpackungsmaterial</v>
      </c>
      <c r="P72" s="8"/>
      <c r="Q72" s="82">
        <f>IF(NOT(ISBLANK($I72)),$I72,$F72)*IF(NOT(ISBLANK('Eingabe EF'!$I57)),'Eingabe EF'!$I57,'Eingabe EF'!$G57)</f>
        <v>0</v>
      </c>
      <c r="R72" s="82">
        <f>IF(NOT(ISBLANK($I72)),$I72,$F72)*IF(NOT(ISBLANK('Eingabe EF'!$M57)),'Eingabe EF'!$M57,'Eingabe EF'!$K57)</f>
        <v>0</v>
      </c>
      <c r="S72" s="82">
        <f>IF(NOT(ISBLANK($I72)),$I72,$F72)*IF(NOT(ISBLANK('Eingabe EF'!$Q57)),'Eingabe EF'!$Q57,'Eingabe EF'!$O57)</f>
        <v>161.20000000000002</v>
      </c>
      <c r="T72" s="8"/>
      <c r="U72" s="82">
        <f>Q72+R72</f>
        <v>0</v>
      </c>
      <c r="V72" s="82">
        <f>SUM(Q72:S72)</f>
        <v>161.20000000000002</v>
      </c>
      <c r="W72" s="8" t="s">
        <v>165</v>
      </c>
      <c r="X72" s="3"/>
    </row>
    <row r="73" spans="2:24" x14ac:dyDescent="0.2">
      <c r="B73" s="3"/>
      <c r="C73" s="3"/>
      <c r="D73" s="3"/>
      <c r="E73" s="3"/>
      <c r="F73" s="3"/>
      <c r="G73" s="3"/>
      <c r="H73" s="3"/>
      <c r="I73" s="3"/>
      <c r="J73" s="3"/>
      <c r="K73" s="3"/>
      <c r="L73" s="3"/>
      <c r="N73" s="3"/>
      <c r="O73" s="3"/>
      <c r="P73" s="3"/>
      <c r="Q73" s="9"/>
      <c r="R73" s="9"/>
      <c r="S73" s="9"/>
      <c r="T73" s="3"/>
      <c r="U73" s="9"/>
      <c r="V73" s="9"/>
      <c r="W73" s="3"/>
      <c r="X73" s="3"/>
    </row>
    <row r="74" spans="2:24" ht="14.25" x14ac:dyDescent="0.25">
      <c r="B74" s="3"/>
      <c r="C74" s="3"/>
      <c r="D74" s="3"/>
      <c r="E74" s="3"/>
      <c r="F74" s="3"/>
      <c r="G74" s="3"/>
      <c r="H74" s="3"/>
      <c r="I74" s="143" t="str">
        <f>IF((I36+I37+I38+I39+I42+I43+I44++I49+I50+I51+I53+I59)&gt;0,IF((I36+I37+I38+I39+I42+I43+I44+I46+I49+I50+I51+I53+I59)=100%,"","Hinweis, falls Handeingabe vorgenommen wurde: Anteile der eingegebenen Verbrauchswerte der Rohstoffe (Zeile 36-59) ergeben nicht 100 %"),"")</f>
        <v/>
      </c>
      <c r="J74" s="3"/>
      <c r="K74" s="3"/>
      <c r="L74" s="3"/>
      <c r="N74" s="3"/>
      <c r="O74" s="144" t="s">
        <v>40</v>
      </c>
      <c r="P74" s="145"/>
      <c r="Q74" s="372">
        <f>SUM(Q16:Q73)-Q41-Q35-Q48-Q53-Q62-Q67-Q31</f>
        <v>106.60088015999999</v>
      </c>
      <c r="R74" s="372">
        <f>SUM(R16:R73)-R41-R35-R48-R53-R62-R67-R31</f>
        <v>286.5</v>
      </c>
      <c r="S74" s="372">
        <f>SUM(S16:S73)-S41-S35-S48-S53-S62-S67-S31</f>
        <v>10520.622960446901</v>
      </c>
      <c r="T74" s="372"/>
      <c r="U74" s="372">
        <f>Q74+R74</f>
        <v>393.10088015999997</v>
      </c>
      <c r="V74" s="372">
        <f>SUM(Q74:S74)</f>
        <v>10913.723840606901</v>
      </c>
      <c r="W74" s="144" t="s">
        <v>165</v>
      </c>
      <c r="X74" s="8"/>
    </row>
    <row r="75" spans="2:24" s="366" customFormat="1" ht="37.5" customHeight="1" thickBot="1" x14ac:dyDescent="0.25">
      <c r="B75" s="15"/>
      <c r="C75" s="15"/>
      <c r="D75" s="15"/>
      <c r="E75" s="15"/>
      <c r="F75" s="15"/>
      <c r="G75" s="15"/>
      <c r="H75" s="15"/>
      <c r="I75" s="367"/>
      <c r="J75" s="15"/>
      <c r="K75" s="15"/>
      <c r="L75" s="15"/>
      <c r="N75" s="15"/>
      <c r="O75" s="368"/>
      <c r="P75" s="368"/>
      <c r="Q75" s="369">
        <f>Q74/IF(NOT(ISBLANK($I$12)),$I$12,$F$12)</f>
        <v>1.0660088015999999E-3</v>
      </c>
      <c r="R75" s="369">
        <f>R74/IF(NOT(ISBLANK($I$12)),$I$12,$F$12)</f>
        <v>2.8649999999999999E-3</v>
      </c>
      <c r="S75" s="369">
        <f>S74/IF(NOT(ISBLANK($I$12)),$I$12,$F$12)</f>
        <v>0.10520622960446901</v>
      </c>
      <c r="T75" s="370"/>
      <c r="U75" s="369">
        <f>U74/IF(NOT(ISBLANK($I$12)),$I$12,$F$12)</f>
        <v>3.9310088015999996E-3</v>
      </c>
      <c r="V75" s="369">
        <f>V74/IF(NOT(ISBLANK($I$12)),$I$12,$F$12)</f>
        <v>0.10913723840606901</v>
      </c>
      <c r="W75" s="371" t="s">
        <v>475</v>
      </c>
      <c r="X75" s="78"/>
    </row>
    <row r="76" spans="2:24" ht="13.5" thickTop="1" x14ac:dyDescent="0.2">
      <c r="B76" s="3"/>
      <c r="C76" s="3"/>
      <c r="D76" s="3"/>
      <c r="E76" s="3"/>
      <c r="F76" s="3"/>
      <c r="G76" s="3"/>
      <c r="H76" s="3"/>
      <c r="I76" s="3"/>
      <c r="J76" s="3"/>
      <c r="K76" s="3"/>
      <c r="L76" s="3"/>
      <c r="N76" s="3"/>
      <c r="O76" s="3"/>
      <c r="P76" s="3"/>
      <c r="Q76" s="3"/>
      <c r="R76" s="3"/>
      <c r="S76" s="3"/>
      <c r="T76" s="3"/>
      <c r="U76" s="3"/>
      <c r="V76" s="3"/>
      <c r="W76" s="3"/>
      <c r="X76" s="3"/>
    </row>
    <row r="77" spans="2:24" ht="14.25" x14ac:dyDescent="0.2">
      <c r="B77" s="3"/>
      <c r="C77" s="34"/>
      <c r="D77" s="34" t="s">
        <v>453</v>
      </c>
      <c r="E77" s="34"/>
      <c r="F77" s="34"/>
      <c r="G77" s="34"/>
      <c r="H77" s="34"/>
      <c r="I77" s="34"/>
      <c r="J77" s="34"/>
      <c r="K77" s="3"/>
      <c r="L77" s="3"/>
      <c r="N77" s="3"/>
      <c r="O77" s="3"/>
      <c r="P77" s="3"/>
      <c r="Q77" s="3"/>
      <c r="R77" s="3"/>
      <c r="S77" s="3"/>
      <c r="T77" s="3"/>
      <c r="U77" s="3"/>
      <c r="V77" s="3"/>
      <c r="W77" s="3"/>
      <c r="X77" s="3"/>
    </row>
    <row r="78" spans="2:24" ht="14.25" x14ac:dyDescent="0.2">
      <c r="B78" s="3"/>
      <c r="C78" s="3"/>
      <c r="D78" s="3"/>
      <c r="E78" s="3"/>
      <c r="F78" s="3"/>
      <c r="G78" s="3"/>
      <c r="H78" s="3"/>
      <c r="I78" s="3"/>
      <c r="J78" s="3"/>
      <c r="K78" s="3"/>
      <c r="L78" s="3"/>
      <c r="N78" s="3"/>
      <c r="O78" s="3" t="s">
        <v>172</v>
      </c>
      <c r="P78" s="3"/>
      <c r="Q78" s="3"/>
      <c r="R78" s="3"/>
      <c r="S78" s="3"/>
      <c r="T78" s="3"/>
      <c r="U78" s="3"/>
      <c r="V78" s="3"/>
      <c r="W78" s="3"/>
      <c r="X78" s="3"/>
    </row>
    <row r="79" spans="2:24" x14ac:dyDescent="0.2">
      <c r="B79" s="3"/>
      <c r="C79" s="3"/>
      <c r="D79" s="3"/>
      <c r="E79" s="3"/>
      <c r="F79" s="3"/>
      <c r="G79" s="3"/>
      <c r="H79" s="3"/>
      <c r="I79" s="3"/>
      <c r="J79" s="3"/>
      <c r="K79" s="3"/>
      <c r="L79" s="3"/>
      <c r="N79" s="3"/>
      <c r="O79" s="3"/>
      <c r="P79" s="3"/>
      <c r="Q79" s="3"/>
      <c r="R79" s="3"/>
      <c r="S79" s="3"/>
      <c r="T79" s="3"/>
      <c r="U79" s="3"/>
      <c r="V79" s="3"/>
      <c r="W79" s="3"/>
      <c r="X79" s="3"/>
    </row>
    <row r="80" spans="2:24" x14ac:dyDescent="0.2">
      <c r="B80" s="3"/>
      <c r="C80" s="3"/>
      <c r="D80" s="3"/>
      <c r="E80" s="3"/>
      <c r="F80" s="3"/>
      <c r="G80" s="3"/>
      <c r="H80" s="3"/>
      <c r="I80" s="3"/>
      <c r="J80" s="3"/>
      <c r="K80" s="3"/>
      <c r="L80" s="3"/>
      <c r="N80" s="3"/>
      <c r="O80" s="3"/>
      <c r="P80" s="3"/>
      <c r="Q80" s="3"/>
      <c r="R80" s="3"/>
      <c r="S80" s="3"/>
      <c r="T80" s="3"/>
      <c r="U80" s="3"/>
      <c r="V80" s="3"/>
      <c r="W80" s="3"/>
      <c r="X80" s="3"/>
    </row>
    <row r="81" spans="4:11" hidden="1" outlineLevel="1" x14ac:dyDescent="0.2">
      <c r="D81" s="102" t="str">
        <f>IF($I$39&gt;0,"Bitte im Reiter 'Eingabe EF' einen Emissionsfaktor für die Zementsorte für 2020, 2025 und 2030 eintragen!","")</f>
        <v/>
      </c>
    </row>
    <row r="82" spans="4:11" hidden="1" outlineLevel="1" x14ac:dyDescent="0.2">
      <c r="D82" s="102" t="str">
        <f>IF($I$19&gt;0,"Bitte im Reiter 'Eingabe EF' entsprechende Emissionsfaktoren und im Reiter 'Eingabe Preise' entsprechenden Preis für den alternativen Ergieträger Härtekammer für 2020, 2025 und 2030 eintragen!","")</f>
        <v/>
      </c>
      <c r="G82" s="6" t="s">
        <v>454</v>
      </c>
      <c r="I82" s="146">
        <f>IF(NOT(ISBLANK($I36)),$I36,$F36)+IF(NOT(ISBLANK($I37)),$I37,$F37)+IF(NOT(ISBLANK($I38)),$I38,$F38)+IF(NOT(ISBLANK($I39)),$I39,$F39)+IF(NOT(ISBLANK($I42)),$I42,$F42)+IF(NOT(ISBLANK($I43)),$I43,$F43)+IF(NOT(ISBLANK($I44)),$I44,$F44)+IF(NOT(ISBLANK($I46)),$I46,$F46)+IF(NOT(ISBLANK($I49)),$I49,$F49)+IF(NOT(ISBLANK($I50)),$I50,$F50)+IF(NOT(ISBLANK($I51)),$I51,$F51)+IF(NOT(ISBLANK($I53)),$I53,$F53)+IF(NOT(ISBLANK($I59)),$I59,$F59)+IF(NOT(ISBLANK($I63)),$I63,$F63)+IF(NOT(ISBLANK($I64)),$I64,$F64)+IF(NOT(ISBLANK($I65)),$I65,$F65)</f>
        <v>1</v>
      </c>
      <c r="K82" s="6" t="str">
        <f>IF(OR(I82&lt;100%,I82&gt;100%),"Hinweis: Die Summe der Einsatzstoffe muss 100% ergeben.","")</f>
        <v/>
      </c>
    </row>
    <row r="83" spans="4:11" hidden="1" outlineLevel="1" x14ac:dyDescent="0.2">
      <c r="D83" s="102" t="str">
        <f>IF($I$26&gt;0,"Bitte im Reiter 'Eingabe EF' entsprechende Emissionsfaktoren und im Reiter 'Eingabe Preise' entsprechenden Preis für den alternativen Ergieträger fürs restliche Werk für 2020, 2025 und 2030 eintragen!","")</f>
        <v/>
      </c>
      <c r="G83" s="6" t="s">
        <v>455</v>
      </c>
      <c r="I83" s="146">
        <f>IF(NOT(ISBLANK($I54)),$I54,$F54)+IF(NOT(ISBLANK($I55)),$I55,$F55)+IF(NOT(ISBLANK($I56)),$I56,$F56)+IF(NOT(ISBLANK($I57)),$I57,$F57)</f>
        <v>0.99999999999999967</v>
      </c>
      <c r="K83" s="6" t="str">
        <f>IF(OR(I83&lt;100%,I83&gt;100%),"Hinweis: Die Summe der Zusatzmittel muss 100% ergeben.","")</f>
        <v/>
      </c>
    </row>
    <row r="84" spans="4:11" hidden="1" outlineLevel="1" x14ac:dyDescent="0.2">
      <c r="D84" s="102" t="str">
        <f>IF($I$43&gt;0,"Bitte im Reiter 'Eingabe EF' einen Emissionsfaktor für Brechsand, Splitt für 2020, 2025 und 2030 eintragen!","")</f>
        <v/>
      </c>
    </row>
    <row r="85" spans="4:11" hidden="1" outlineLevel="1" x14ac:dyDescent="0.2">
      <c r="D85" s="102" t="str">
        <f>IF($I$44&gt;0,"Bitte im Reiter 'Eingabe EF' einen Emissionsfaktor für RC-Material (Sand, Splitt) für 2020, 2025 und 2030 eintragen!","")</f>
        <v/>
      </c>
    </row>
    <row r="86" spans="4:11" hidden="1" outlineLevel="1" x14ac:dyDescent="0.2">
      <c r="D86" s="102" t="str">
        <f>IF($I$63&gt;0,"Bitte im Reiter 'Eingabe EF' einen Emissionsfaktor für Hydrophobierung für 2020, 2025 und 2030 eintragen!","")</f>
        <v/>
      </c>
    </row>
    <row r="87" spans="4:11" hidden="1" outlineLevel="1" x14ac:dyDescent="0.2">
      <c r="D87" s="102" t="str">
        <f>IF($I$65&gt;0,"Bitte im Reiter 'Eingabe EF' einen Emissionsfaktor für Beschichtung für 2020, 2025 und 2030 eintragen!","")</f>
        <v/>
      </c>
    </row>
    <row r="88" spans="4:11" hidden="1" outlineLevel="1" x14ac:dyDescent="0.2">
      <c r="D88" s="102" t="str">
        <f>IF($I$69&gt;0,"Bitte im Reiter 'Eingabe EF' einen Emissionsfaktor für 'weitere Materialen' für 2020, 2025 und 2030 eintragen!","")</f>
        <v/>
      </c>
    </row>
    <row r="89" spans="4:11" hidden="1" outlineLevel="1" x14ac:dyDescent="0.2">
      <c r="D89" s="102" t="str">
        <f>IF($I$70&gt;0,"Bitte im Reiter 'Eingabe EF' einen Emissionsfaktor für Oberflächenbearbeitungsarten für 2020, 2025 und 2030 eintragen!","")</f>
        <v/>
      </c>
    </row>
    <row r="90" spans="4:11" collapsed="1" x14ac:dyDescent="0.2"/>
  </sheetData>
  <sheetProtection selectLockedCells="1"/>
  <mergeCells count="1">
    <mergeCell ref="F5:K5"/>
  </mergeCells>
  <printOptions horizontalCentered="1"/>
  <pageMargins left="0.39370078740157483" right="0.39370078740157483" top="0.39370078740157483" bottom="0.59055118110236227" header="0.19685039370078741" footer="0.19685039370078741"/>
  <pageSetup paperSize="9" scale="34" orientation="landscape" verticalDpi="60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0285-D3A6-4863-BE85-8BA39F29FA35}">
  <sheetPr>
    <pageSetUpPr fitToPage="1"/>
  </sheetPr>
  <dimension ref="B2:R25"/>
  <sheetViews>
    <sheetView zoomScale="90" zoomScaleNormal="90" workbookViewId="0">
      <selection activeCell="G10" sqref="G10"/>
    </sheetView>
  </sheetViews>
  <sheetFormatPr baseColWidth="10" defaultColWidth="9" defaultRowHeight="12.75" x14ac:dyDescent="0.2"/>
  <cols>
    <col min="1" max="2" width="3.625" style="2" customWidth="1"/>
    <col min="3" max="3" width="30.375" style="2" bestFit="1" customWidth="1"/>
    <col min="4" max="4" width="9" style="2"/>
    <col min="5" max="5" width="14.125" style="2" customWidth="1"/>
    <col min="6" max="6" width="1.875" style="2" customWidth="1"/>
    <col min="7" max="7" width="14.75" style="2" customWidth="1"/>
    <col min="8" max="8" width="5.125" style="152" customWidth="1"/>
    <col min="9" max="9" width="14.75" style="2" customWidth="1"/>
    <col min="10" max="10" width="1.875" style="2" customWidth="1"/>
    <col min="11" max="11" width="14.75" style="2" customWidth="1"/>
    <col min="12" max="12" width="5.125" style="152" customWidth="1"/>
    <col min="13" max="13" width="14.75" style="2" customWidth="1"/>
    <col min="14" max="14" width="1.875" style="2" customWidth="1"/>
    <col min="15" max="15" width="14.75" style="2" customWidth="1"/>
    <col min="16" max="16" width="2.125" style="2" customWidth="1"/>
    <col min="17" max="17" width="9" style="2"/>
    <col min="18" max="18" width="2.5" style="2" customWidth="1"/>
    <col min="19" max="16384" width="9" style="2"/>
  </cols>
  <sheetData>
    <row r="2" spans="2:18" x14ac:dyDescent="0.2">
      <c r="B2" s="3"/>
      <c r="C2" s="3"/>
      <c r="D2" s="3"/>
      <c r="E2" s="3"/>
      <c r="F2" s="3"/>
      <c r="G2" s="3"/>
      <c r="H2" s="117"/>
      <c r="I2" s="3"/>
      <c r="J2" s="3"/>
      <c r="K2" s="3"/>
      <c r="L2" s="117"/>
      <c r="M2" s="3"/>
      <c r="N2" s="3"/>
      <c r="O2" s="3"/>
      <c r="P2" s="3"/>
      <c r="Q2" s="3"/>
      <c r="R2" s="3"/>
    </row>
    <row r="3" spans="2:18" ht="18" x14ac:dyDescent="0.2">
      <c r="B3" s="3"/>
      <c r="C3" s="375" t="s">
        <v>293</v>
      </c>
      <c r="D3" s="375"/>
      <c r="E3" s="375"/>
      <c r="F3" s="3"/>
      <c r="G3" s="3"/>
      <c r="H3" s="117"/>
      <c r="I3" s="3"/>
      <c r="J3" s="3"/>
      <c r="K3" s="3"/>
      <c r="L3" s="117"/>
      <c r="M3" s="3"/>
      <c r="N3" s="3"/>
      <c r="O3" s="3"/>
      <c r="P3" s="3"/>
      <c r="Q3" s="3"/>
      <c r="R3" s="3"/>
    </row>
    <row r="4" spans="2:18" x14ac:dyDescent="0.2">
      <c r="B4" s="3"/>
      <c r="C4" s="3"/>
      <c r="D4" s="3"/>
      <c r="E4" s="3"/>
      <c r="F4" s="3"/>
      <c r="G4" s="3"/>
      <c r="H4" s="117"/>
      <c r="I4" s="3"/>
      <c r="J4" s="3"/>
      <c r="K4" s="3"/>
      <c r="L4" s="117"/>
      <c r="M4" s="3"/>
      <c r="N4" s="3"/>
      <c r="O4" s="3"/>
      <c r="P4" s="3"/>
      <c r="Q4" s="3"/>
      <c r="R4" s="3"/>
    </row>
    <row r="5" spans="2:18" ht="70.5" customHeight="1" x14ac:dyDescent="0.2">
      <c r="B5" s="3"/>
      <c r="C5" s="376" t="s">
        <v>324</v>
      </c>
      <c r="D5" s="376"/>
      <c r="E5" s="376"/>
      <c r="F5" s="376"/>
      <c r="G5" s="376"/>
      <c r="H5" s="376"/>
      <c r="I5" s="376"/>
      <c r="J5" s="376"/>
      <c r="K5" s="376"/>
      <c r="L5" s="376"/>
      <c r="M5" s="376"/>
      <c r="N5" s="14"/>
      <c r="O5" s="14"/>
      <c r="P5" s="14"/>
      <c r="Q5" s="3"/>
      <c r="R5" s="3"/>
    </row>
    <row r="6" spans="2:18" x14ac:dyDescent="0.2">
      <c r="B6" s="3"/>
      <c r="C6" s="3"/>
      <c r="D6" s="3"/>
      <c r="E6" s="3"/>
      <c r="F6" s="3"/>
      <c r="G6" s="3"/>
      <c r="H6" s="117"/>
      <c r="I6" s="3"/>
      <c r="J6" s="3"/>
      <c r="K6" s="3"/>
      <c r="L6" s="117"/>
      <c r="M6" s="3"/>
      <c r="N6" s="3"/>
      <c r="O6" s="3"/>
      <c r="P6" s="3"/>
      <c r="Q6" s="3"/>
      <c r="R6" s="3"/>
    </row>
    <row r="7" spans="2:18" x14ac:dyDescent="0.2">
      <c r="B7" s="3"/>
      <c r="C7" s="3"/>
      <c r="D7" s="3"/>
      <c r="E7" s="3"/>
      <c r="F7" s="3"/>
      <c r="G7" s="3"/>
      <c r="H7" s="117"/>
      <c r="I7" s="3"/>
      <c r="J7" s="3"/>
      <c r="K7" s="3"/>
      <c r="L7" s="117"/>
      <c r="M7" s="3"/>
      <c r="N7" s="3"/>
      <c r="O7" s="3"/>
      <c r="P7" s="3"/>
      <c r="Q7" s="3"/>
      <c r="R7" s="3"/>
    </row>
    <row r="8" spans="2:18" ht="38.25" x14ac:dyDescent="0.2">
      <c r="B8" s="3"/>
      <c r="C8" s="8" t="s">
        <v>20</v>
      </c>
      <c r="D8" s="8" t="s">
        <v>21</v>
      </c>
      <c r="E8" s="149" t="s">
        <v>134</v>
      </c>
      <c r="F8" s="8"/>
      <c r="G8" s="149" t="s">
        <v>88</v>
      </c>
      <c r="H8" s="11"/>
      <c r="I8" s="149" t="s">
        <v>71</v>
      </c>
      <c r="J8" s="8"/>
      <c r="K8" s="149" t="s">
        <v>89</v>
      </c>
      <c r="L8" s="11"/>
      <c r="M8" s="149" t="s">
        <v>72</v>
      </c>
      <c r="N8" s="8"/>
      <c r="O8" s="149" t="s">
        <v>90</v>
      </c>
      <c r="P8" s="117"/>
      <c r="Q8" s="3"/>
      <c r="R8" s="3"/>
    </row>
    <row r="9" spans="2:18" ht="4.5" customHeight="1" x14ac:dyDescent="0.2">
      <c r="B9" s="3"/>
      <c r="C9" s="3"/>
      <c r="D9" s="3"/>
      <c r="E9" s="117"/>
      <c r="F9" s="3"/>
      <c r="G9" s="117"/>
      <c r="H9" s="122"/>
      <c r="I9" s="117"/>
      <c r="J9" s="3"/>
      <c r="K9" s="117"/>
      <c r="L9" s="122"/>
      <c r="M9" s="117"/>
      <c r="N9" s="3"/>
      <c r="O9" s="117"/>
      <c r="P9" s="117"/>
      <c r="Q9" s="3"/>
      <c r="R9" s="3"/>
    </row>
    <row r="10" spans="2:18" x14ac:dyDescent="0.2">
      <c r="B10" s="3"/>
      <c r="C10" s="3" t="s">
        <v>32</v>
      </c>
      <c r="D10" s="150" t="str">
        <f>'Default Preise'!K9</f>
        <v>€/MWh</v>
      </c>
      <c r="E10" s="150">
        <f>'Default Preise'!J9</f>
        <v>61</v>
      </c>
      <c r="F10" s="3"/>
      <c r="G10" s="153"/>
      <c r="H10" s="117"/>
      <c r="I10" s="150">
        <f>$E10</f>
        <v>61</v>
      </c>
      <c r="J10" s="3"/>
      <c r="K10" s="153"/>
      <c r="L10" s="117"/>
      <c r="M10" s="150">
        <f>$E10</f>
        <v>61</v>
      </c>
      <c r="N10" s="3"/>
      <c r="O10" s="153"/>
      <c r="P10" s="117"/>
      <c r="Q10" s="3"/>
      <c r="R10" s="3"/>
    </row>
    <row r="11" spans="2:18" x14ac:dyDescent="0.2">
      <c r="B11" s="3"/>
      <c r="C11" s="3" t="s">
        <v>33</v>
      </c>
      <c r="D11" s="150" t="str">
        <f>'Default Preise'!K10</f>
        <v>€/MWh</v>
      </c>
      <c r="E11" s="150">
        <f>'Default Preise'!J10</f>
        <v>46</v>
      </c>
      <c r="F11" s="3"/>
      <c r="G11" s="153"/>
      <c r="H11" s="117"/>
      <c r="I11" s="150">
        <f t="shared" ref="I11:I15" si="0">$E11</f>
        <v>46</v>
      </c>
      <c r="J11" s="3"/>
      <c r="K11" s="153"/>
      <c r="L11" s="117"/>
      <c r="M11" s="150">
        <f t="shared" ref="M11:M15" si="1">$E11</f>
        <v>46</v>
      </c>
      <c r="N11" s="3"/>
      <c r="O11" s="153"/>
      <c r="P11" s="117"/>
      <c r="Q11" s="3"/>
      <c r="R11" s="3"/>
    </row>
    <row r="12" spans="2:18" x14ac:dyDescent="0.2">
      <c r="B12" s="3"/>
      <c r="C12" s="3" t="s">
        <v>34</v>
      </c>
      <c r="D12" s="150" t="str">
        <f>'Default Preise'!K11</f>
        <v>€/MWh</v>
      </c>
      <c r="E12" s="150">
        <f>'Default Preise'!J11</f>
        <v>172</v>
      </c>
      <c r="F12" s="3"/>
      <c r="G12" s="153"/>
      <c r="H12" s="117"/>
      <c r="I12" s="150">
        <f t="shared" si="0"/>
        <v>172</v>
      </c>
      <c r="J12" s="3"/>
      <c r="K12" s="153"/>
      <c r="L12" s="117"/>
      <c r="M12" s="150">
        <f t="shared" si="1"/>
        <v>172</v>
      </c>
      <c r="N12" s="3"/>
      <c r="O12" s="153"/>
      <c r="P12" s="117"/>
      <c r="Q12" s="3"/>
      <c r="R12" s="3"/>
    </row>
    <row r="13" spans="2:18" x14ac:dyDescent="0.2">
      <c r="B13" s="3"/>
      <c r="C13" s="3" t="s">
        <v>125</v>
      </c>
      <c r="D13" s="150" t="s">
        <v>99</v>
      </c>
      <c r="E13" s="150">
        <f>'Default Preise'!J13</f>
        <v>40</v>
      </c>
      <c r="F13" s="3"/>
      <c r="G13" s="153"/>
      <c r="H13" s="117"/>
      <c r="I13" s="150">
        <f>E13</f>
        <v>40</v>
      </c>
      <c r="J13" s="3"/>
      <c r="K13" s="153"/>
      <c r="L13" s="117"/>
      <c r="M13" s="150">
        <f>E13</f>
        <v>40</v>
      </c>
      <c r="N13" s="3"/>
      <c r="O13" s="153"/>
      <c r="P13" s="117"/>
      <c r="Q13" s="3"/>
      <c r="R13" s="3"/>
    </row>
    <row r="14" spans="2:18" x14ac:dyDescent="0.2">
      <c r="B14" s="3"/>
      <c r="C14" s="3" t="s">
        <v>35</v>
      </c>
      <c r="D14" s="150" t="str">
        <f>'Default Preise'!K14</f>
        <v>€/l</v>
      </c>
      <c r="E14" s="150">
        <f>'Default Preise'!J14</f>
        <v>1.1240000000000001</v>
      </c>
      <c r="F14" s="3"/>
      <c r="G14" s="153"/>
      <c r="H14" s="117"/>
      <c r="I14" s="150">
        <f>E14</f>
        <v>1.1240000000000001</v>
      </c>
      <c r="J14" s="3"/>
      <c r="K14" s="153"/>
      <c r="L14" s="117"/>
      <c r="M14" s="150">
        <f>I14</f>
        <v>1.1240000000000001</v>
      </c>
      <c r="N14" s="3"/>
      <c r="O14" s="153"/>
      <c r="P14" s="117"/>
      <c r="Q14" s="3"/>
      <c r="R14" s="3"/>
    </row>
    <row r="15" spans="2:18" x14ac:dyDescent="0.2">
      <c r="B15" s="3"/>
      <c r="C15" s="3" t="s">
        <v>73</v>
      </c>
      <c r="D15" s="150" t="str">
        <f>'Default Preise'!K12</f>
        <v>€/MWh</v>
      </c>
      <c r="E15" s="150">
        <f>'Default Preise'!J12</f>
        <v>174.5</v>
      </c>
      <c r="F15" s="3"/>
      <c r="G15" s="153"/>
      <c r="H15" s="117"/>
      <c r="I15" s="150">
        <f t="shared" si="0"/>
        <v>174.5</v>
      </c>
      <c r="J15" s="3"/>
      <c r="K15" s="153"/>
      <c r="L15" s="117"/>
      <c r="M15" s="150">
        <f t="shared" si="1"/>
        <v>174.5</v>
      </c>
      <c r="N15" s="3"/>
      <c r="O15" s="153"/>
      <c r="P15" s="117"/>
      <c r="Q15" s="3"/>
      <c r="R15" s="3"/>
    </row>
    <row r="16" spans="2:18" x14ac:dyDescent="0.2">
      <c r="B16" s="3"/>
      <c r="C16" s="153" t="s">
        <v>129</v>
      </c>
      <c r="D16" s="150" t="s">
        <v>99</v>
      </c>
      <c r="E16" s="151" t="s">
        <v>121</v>
      </c>
      <c r="F16" s="3"/>
      <c r="G16" s="153"/>
      <c r="H16" s="117"/>
      <c r="I16" s="151" t="s">
        <v>121</v>
      </c>
      <c r="J16" s="3"/>
      <c r="K16" s="153"/>
      <c r="L16" s="117"/>
      <c r="M16" s="151" t="s">
        <v>121</v>
      </c>
      <c r="N16" s="3"/>
      <c r="O16" s="153"/>
      <c r="P16" s="117"/>
      <c r="Q16" s="3"/>
      <c r="R16" s="3"/>
    </row>
    <row r="17" spans="2:18" x14ac:dyDescent="0.2">
      <c r="B17" s="3"/>
      <c r="C17" s="153" t="s">
        <v>151</v>
      </c>
      <c r="D17" s="150" t="s">
        <v>99</v>
      </c>
      <c r="E17" s="151" t="s">
        <v>121</v>
      </c>
      <c r="F17" s="3"/>
      <c r="G17" s="153"/>
      <c r="H17" s="117"/>
      <c r="I17" s="151" t="s">
        <v>121</v>
      </c>
      <c r="J17" s="3"/>
      <c r="K17" s="153"/>
      <c r="L17" s="117"/>
      <c r="M17" s="151" t="s">
        <v>121</v>
      </c>
      <c r="N17" s="3"/>
      <c r="O17" s="153"/>
      <c r="P17" s="117"/>
      <c r="Q17" s="3"/>
      <c r="R17" s="3"/>
    </row>
    <row r="18" spans="2:18" x14ac:dyDescent="0.2">
      <c r="B18" s="3"/>
      <c r="C18" s="3"/>
      <c r="D18" s="3"/>
      <c r="E18" s="3"/>
      <c r="F18" s="3"/>
      <c r="G18" s="3"/>
      <c r="H18" s="117"/>
      <c r="I18" s="3"/>
      <c r="J18" s="3"/>
      <c r="K18" s="3"/>
      <c r="L18" s="117"/>
      <c r="M18" s="3"/>
      <c r="N18" s="3"/>
      <c r="O18" s="3"/>
      <c r="P18" s="117"/>
      <c r="Q18" s="3"/>
      <c r="R18" s="3"/>
    </row>
    <row r="19" spans="2:18" x14ac:dyDescent="0.2">
      <c r="B19" s="3"/>
      <c r="C19" s="3"/>
      <c r="D19" s="3"/>
      <c r="E19" s="3"/>
      <c r="F19" s="3"/>
      <c r="G19" s="3"/>
      <c r="H19" s="117"/>
      <c r="I19" s="3"/>
      <c r="J19" s="3"/>
      <c r="K19" s="3"/>
      <c r="L19" s="117"/>
      <c r="M19" s="3"/>
      <c r="N19" s="3"/>
      <c r="O19" s="3"/>
      <c r="P19" s="117"/>
      <c r="Q19" s="3"/>
      <c r="R19" s="3"/>
    </row>
    <row r="20" spans="2:18" ht="14.25" x14ac:dyDescent="0.25">
      <c r="B20" s="3"/>
      <c r="C20" s="8" t="s">
        <v>138</v>
      </c>
      <c r="D20" s="3"/>
      <c r="E20" s="3"/>
      <c r="F20" s="3"/>
      <c r="G20" s="3"/>
      <c r="H20" s="117"/>
      <c r="I20" s="3"/>
      <c r="J20" s="3"/>
      <c r="K20" s="3"/>
      <c r="L20" s="117"/>
      <c r="M20" s="3"/>
      <c r="N20" s="3"/>
      <c r="O20" s="3"/>
      <c r="P20" s="117"/>
      <c r="Q20" s="3"/>
      <c r="R20" s="3"/>
    </row>
    <row r="21" spans="2:18" ht="15.75" x14ac:dyDescent="0.3">
      <c r="B21" s="3"/>
      <c r="C21" s="3" t="s">
        <v>27</v>
      </c>
      <c r="D21" s="3" t="s">
        <v>294</v>
      </c>
      <c r="E21" s="3">
        <f>'Default Preise'!J18</f>
        <v>25</v>
      </c>
      <c r="F21" s="3"/>
      <c r="G21" s="153"/>
      <c r="H21" s="117"/>
      <c r="I21" s="3">
        <f>'Default Preise'!J19</f>
        <v>45</v>
      </c>
      <c r="J21" s="3"/>
      <c r="K21" s="153"/>
      <c r="L21" s="117"/>
      <c r="M21" s="3">
        <f>'Default Preise'!J20</f>
        <v>80</v>
      </c>
      <c r="N21" s="3"/>
      <c r="O21" s="153"/>
      <c r="P21" s="117"/>
      <c r="Q21" s="3"/>
      <c r="R21" s="3"/>
    </row>
    <row r="22" spans="2:18" ht="15.75" x14ac:dyDescent="0.3">
      <c r="B22" s="3"/>
      <c r="C22" s="3" t="s">
        <v>28</v>
      </c>
      <c r="D22" s="3" t="s">
        <v>294</v>
      </c>
      <c r="E22" s="3">
        <f>E21</f>
        <v>25</v>
      </c>
      <c r="F22" s="3"/>
      <c r="G22" s="153"/>
      <c r="H22" s="117"/>
      <c r="I22" s="3">
        <f>'Default Preise'!J19</f>
        <v>45</v>
      </c>
      <c r="J22" s="3"/>
      <c r="K22" s="153"/>
      <c r="L22" s="117"/>
      <c r="M22" s="3">
        <f>'Default Preise'!J20</f>
        <v>80</v>
      </c>
      <c r="N22" s="3"/>
      <c r="O22" s="153"/>
      <c r="P22" s="117"/>
      <c r="Q22" s="3"/>
      <c r="R22" s="3"/>
    </row>
    <row r="23" spans="2:18" ht="15.75" x14ac:dyDescent="0.3">
      <c r="B23" s="3"/>
      <c r="C23" s="3" t="s">
        <v>29</v>
      </c>
      <c r="D23" s="3" t="s">
        <v>294</v>
      </c>
      <c r="E23" s="3">
        <f>E22</f>
        <v>25</v>
      </c>
      <c r="F23" s="3"/>
      <c r="G23" s="153"/>
      <c r="H23" s="117"/>
      <c r="I23" s="3">
        <f>'Default Preise'!J19</f>
        <v>45</v>
      </c>
      <c r="J23" s="3"/>
      <c r="K23" s="153"/>
      <c r="L23" s="117"/>
      <c r="M23" s="3">
        <f>'Default Preise'!J20</f>
        <v>80</v>
      </c>
      <c r="N23" s="3"/>
      <c r="O23" s="153"/>
      <c r="P23" s="117"/>
      <c r="Q23" s="3"/>
      <c r="R23" s="3"/>
    </row>
    <row r="24" spans="2:18" x14ac:dyDescent="0.2">
      <c r="B24" s="3"/>
      <c r="C24" s="3"/>
      <c r="D24" s="3"/>
      <c r="E24" s="3"/>
      <c r="F24" s="3"/>
      <c r="G24" s="3"/>
      <c r="H24" s="117"/>
      <c r="I24" s="3"/>
      <c r="J24" s="3"/>
      <c r="K24" s="3"/>
      <c r="L24" s="117"/>
      <c r="M24" s="3"/>
      <c r="N24" s="3"/>
      <c r="O24" s="3"/>
      <c r="P24" s="117"/>
      <c r="Q24" s="3"/>
      <c r="R24" s="3"/>
    </row>
    <row r="25" spans="2:18" x14ac:dyDescent="0.2">
      <c r="B25" s="3"/>
      <c r="C25" s="3"/>
      <c r="D25" s="3"/>
      <c r="E25" s="3"/>
      <c r="F25" s="3"/>
      <c r="G25" s="3"/>
      <c r="H25" s="117"/>
      <c r="I25" s="3"/>
      <c r="J25" s="3"/>
      <c r="K25" s="3"/>
      <c r="L25" s="117"/>
      <c r="M25" s="3"/>
      <c r="N25" s="3"/>
      <c r="O25" s="3"/>
      <c r="P25" s="3"/>
      <c r="Q25" s="3"/>
      <c r="R25" s="3"/>
    </row>
  </sheetData>
  <sheetProtection sheet="1" objects="1" scenarios="1" selectLockedCells="1"/>
  <mergeCells count="2">
    <mergeCell ref="C3:E3"/>
    <mergeCell ref="C5:M5"/>
  </mergeCells>
  <printOptions horizontalCentered="1"/>
  <pageMargins left="0.39370078740157483" right="0.39370078740157483" top="0.39370078740157483" bottom="0.59055118110236227" header="0.19685039370078741" footer="0.19685039370078741"/>
  <pageSetup paperSize="9" orientation="landscape" verticalDpi="60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A4CB-C7A1-49E8-A50E-A363A234FC74}">
  <sheetPr>
    <pageSetUpPr fitToPage="1"/>
  </sheetPr>
  <dimension ref="A2:O34"/>
  <sheetViews>
    <sheetView zoomScale="90" zoomScaleNormal="90" workbookViewId="0"/>
  </sheetViews>
  <sheetFormatPr baseColWidth="10" defaultColWidth="9" defaultRowHeight="12.75" x14ac:dyDescent="0.2"/>
  <cols>
    <col min="1" max="1" width="3.625" style="2" customWidth="1"/>
    <col min="2" max="2" width="4.125" style="2" customWidth="1"/>
    <col min="3" max="3" width="26.875" style="2" customWidth="1"/>
    <col min="4" max="4" width="30.375" style="2" bestFit="1" customWidth="1"/>
    <col min="5" max="5" width="18.625" style="2" bestFit="1" customWidth="1"/>
    <col min="6" max="6" width="9.375" style="2"/>
    <col min="7" max="8" width="9" style="2"/>
    <col min="9" max="9" width="9.875" style="192" customWidth="1"/>
    <col min="10" max="10" width="14.5" style="2" customWidth="1"/>
    <col min="11" max="11" width="8.375" style="2" customWidth="1"/>
    <col min="12" max="12" width="86.375" style="2" customWidth="1"/>
    <col min="13" max="13" width="5.875" style="2" customWidth="1"/>
    <col min="14" max="16384" width="9" style="2"/>
  </cols>
  <sheetData>
    <row r="2" spans="1:15" x14ac:dyDescent="0.2">
      <c r="A2" s="154"/>
      <c r="B2" s="155"/>
      <c r="C2" s="156"/>
      <c r="D2" s="156"/>
      <c r="E2" s="155"/>
      <c r="F2" s="155"/>
      <c r="G2" s="155"/>
      <c r="H2" s="155"/>
      <c r="I2" s="157"/>
      <c r="J2" s="155"/>
      <c r="K2" s="155"/>
      <c r="L2" s="155"/>
      <c r="M2" s="155"/>
      <c r="N2" s="154"/>
      <c r="O2" s="154"/>
    </row>
    <row r="3" spans="1:15" ht="18" x14ac:dyDescent="0.2">
      <c r="A3" s="154"/>
      <c r="B3" s="155"/>
      <c r="C3" s="375" t="s">
        <v>295</v>
      </c>
      <c r="D3" s="375"/>
      <c r="E3" s="155"/>
      <c r="F3" s="155"/>
      <c r="G3" s="155"/>
      <c r="H3" s="155"/>
      <c r="I3" s="157"/>
      <c r="J3" s="155"/>
      <c r="K3" s="155"/>
      <c r="L3" s="155"/>
      <c r="M3" s="155"/>
      <c r="N3" s="154"/>
      <c r="O3" s="154"/>
    </row>
    <row r="4" spans="1:15" ht="18" x14ac:dyDescent="0.2">
      <c r="A4" s="154"/>
      <c r="B4" s="155"/>
      <c r="C4" s="156"/>
      <c r="D4" s="158"/>
      <c r="E4" s="155"/>
      <c r="F4" s="155"/>
      <c r="G4" s="155"/>
      <c r="H4" s="155"/>
      <c r="I4" s="157"/>
      <c r="J4" s="155"/>
      <c r="K4" s="155"/>
      <c r="L4" s="155"/>
      <c r="M4" s="155"/>
      <c r="N4" s="154"/>
      <c r="O4" s="154"/>
    </row>
    <row r="5" spans="1:15" ht="32.25" customHeight="1" x14ac:dyDescent="0.2">
      <c r="A5" s="154"/>
      <c r="B5" s="155"/>
      <c r="C5" s="380" t="s">
        <v>196</v>
      </c>
      <c r="D5" s="380"/>
      <c r="E5" s="380"/>
      <c r="F5" s="380"/>
      <c r="G5" s="380"/>
      <c r="H5" s="380"/>
      <c r="I5" s="380"/>
      <c r="J5" s="380"/>
      <c r="K5" s="380"/>
      <c r="L5" s="155"/>
      <c r="M5" s="155"/>
      <c r="N5" s="154"/>
      <c r="O5" s="154"/>
    </row>
    <row r="6" spans="1:15" x14ac:dyDescent="0.2">
      <c r="A6" s="159"/>
      <c r="B6" s="8"/>
      <c r="C6" s="8"/>
      <c r="D6" s="8"/>
      <c r="E6" s="8"/>
      <c r="F6" s="8"/>
      <c r="G6" s="8"/>
      <c r="H6" s="8"/>
      <c r="I6" s="13"/>
      <c r="J6" s="8"/>
      <c r="K6" s="8"/>
      <c r="L6" s="8"/>
      <c r="M6" s="8"/>
      <c r="N6" s="159"/>
      <c r="O6" s="159"/>
    </row>
    <row r="7" spans="1:15" x14ac:dyDescent="0.2">
      <c r="A7" s="159"/>
      <c r="B7" s="8"/>
      <c r="C7" s="8"/>
      <c r="D7" s="8"/>
      <c r="E7" s="8"/>
      <c r="F7" s="13" t="s">
        <v>97</v>
      </c>
      <c r="G7" s="13"/>
      <c r="H7" s="13"/>
      <c r="I7" s="13"/>
      <c r="J7" s="377"/>
      <c r="K7" s="377"/>
      <c r="L7" s="8"/>
      <c r="M7" s="8"/>
      <c r="N7" s="159"/>
      <c r="O7" s="159"/>
    </row>
    <row r="8" spans="1:15" x14ac:dyDescent="0.2">
      <c r="A8" s="159"/>
      <c r="B8" s="8"/>
      <c r="C8" s="59" t="s">
        <v>20</v>
      </c>
      <c r="D8" s="59" t="s">
        <v>22</v>
      </c>
      <c r="E8" s="59" t="s">
        <v>21</v>
      </c>
      <c r="F8" s="60">
        <v>2020</v>
      </c>
      <c r="G8" s="60">
        <v>2021</v>
      </c>
      <c r="H8" s="60">
        <v>2022</v>
      </c>
      <c r="I8" s="60">
        <v>2025</v>
      </c>
      <c r="J8" s="378" t="s">
        <v>98</v>
      </c>
      <c r="K8" s="378"/>
      <c r="L8" s="59" t="s">
        <v>23</v>
      </c>
      <c r="M8" s="8"/>
      <c r="N8" s="159"/>
      <c r="O8" s="159"/>
    </row>
    <row r="9" spans="1:15" x14ac:dyDescent="0.2">
      <c r="B9" s="3"/>
      <c r="C9" s="160" t="s">
        <v>32</v>
      </c>
      <c r="D9" s="161" t="s">
        <v>361</v>
      </c>
      <c r="E9" s="161" t="s">
        <v>99</v>
      </c>
      <c r="F9" s="162">
        <v>60.6</v>
      </c>
      <c r="G9" s="162"/>
      <c r="H9" s="162"/>
      <c r="I9" s="162"/>
      <c r="J9" s="163">
        <f>ROUND(F9,0)</f>
        <v>61</v>
      </c>
      <c r="K9" s="164" t="s">
        <v>99</v>
      </c>
      <c r="L9" s="14" t="s">
        <v>303</v>
      </c>
      <c r="M9" s="3"/>
    </row>
    <row r="10" spans="1:15" x14ac:dyDescent="0.2">
      <c r="B10" s="3"/>
      <c r="C10" s="78" t="s">
        <v>33</v>
      </c>
      <c r="D10" s="165" t="s">
        <v>364</v>
      </c>
      <c r="E10" s="165" t="s">
        <v>130</v>
      </c>
      <c r="F10" s="166">
        <v>45</v>
      </c>
      <c r="G10" s="166"/>
      <c r="H10" s="166"/>
      <c r="I10" s="166"/>
      <c r="J10" s="167">
        <f>ROUND(F10/100/9.8/1000*10^6,0)</f>
        <v>46</v>
      </c>
      <c r="K10" s="168" t="s">
        <v>99</v>
      </c>
      <c r="L10" s="14" t="s">
        <v>197</v>
      </c>
      <c r="M10" s="3"/>
    </row>
    <row r="11" spans="1:15" ht="28.5" x14ac:dyDescent="0.2">
      <c r="B11" s="3"/>
      <c r="C11" s="160" t="s">
        <v>34</v>
      </c>
      <c r="D11" s="161" t="s">
        <v>362</v>
      </c>
      <c r="E11" s="161" t="s">
        <v>99</v>
      </c>
      <c r="F11" s="162">
        <v>172</v>
      </c>
      <c r="G11" s="162"/>
      <c r="H11" s="162"/>
      <c r="I11" s="162"/>
      <c r="J11" s="169">
        <f>F11</f>
        <v>172</v>
      </c>
      <c r="K11" s="163" t="s">
        <v>99</v>
      </c>
      <c r="L11" s="14" t="s">
        <v>304</v>
      </c>
      <c r="M11" s="3"/>
    </row>
    <row r="12" spans="1:15" x14ac:dyDescent="0.2">
      <c r="B12" s="3"/>
      <c r="C12" s="78" t="s">
        <v>105</v>
      </c>
      <c r="D12" s="165" t="s">
        <v>296</v>
      </c>
      <c r="E12" s="165" t="s">
        <v>99</v>
      </c>
      <c r="F12" s="166">
        <v>2.5</v>
      </c>
      <c r="G12" s="166"/>
      <c r="H12" s="166"/>
      <c r="I12" s="166"/>
      <c r="J12" s="170">
        <f>J11+F12</f>
        <v>174.5</v>
      </c>
      <c r="K12" s="171" t="s">
        <v>99</v>
      </c>
      <c r="L12" s="14" t="s">
        <v>356</v>
      </c>
      <c r="M12" s="122"/>
    </row>
    <row r="13" spans="1:15" x14ac:dyDescent="0.2">
      <c r="B13" s="3"/>
      <c r="C13" s="160" t="s">
        <v>125</v>
      </c>
      <c r="D13" s="161" t="s">
        <v>365</v>
      </c>
      <c r="E13" s="161" t="s">
        <v>171</v>
      </c>
      <c r="F13" s="162">
        <v>56.03</v>
      </c>
      <c r="G13" s="162"/>
      <c r="H13" s="162"/>
      <c r="I13" s="162"/>
      <c r="J13" s="172">
        <f>ROUND(F13*7.111/10,0)</f>
        <v>40</v>
      </c>
      <c r="K13" s="163" t="s">
        <v>99</v>
      </c>
      <c r="L13" s="14" t="s">
        <v>355</v>
      </c>
      <c r="M13" s="3"/>
    </row>
    <row r="14" spans="1:15" x14ac:dyDescent="0.2">
      <c r="B14" s="3"/>
      <c r="C14" s="78" t="s">
        <v>35</v>
      </c>
      <c r="D14" s="165" t="s">
        <v>363</v>
      </c>
      <c r="E14" s="165" t="s">
        <v>130</v>
      </c>
      <c r="F14" s="166">
        <v>112.4</v>
      </c>
      <c r="G14" s="166"/>
      <c r="H14" s="166"/>
      <c r="I14" s="166"/>
      <c r="J14" s="173">
        <f>F14/100</f>
        <v>1.1240000000000001</v>
      </c>
      <c r="K14" s="171" t="s">
        <v>123</v>
      </c>
      <c r="L14" s="14" t="s">
        <v>131</v>
      </c>
      <c r="M14" s="3"/>
    </row>
    <row r="15" spans="1:15" ht="15.75" x14ac:dyDescent="0.2">
      <c r="B15" s="3"/>
      <c r="C15" s="160" t="s">
        <v>138</v>
      </c>
      <c r="D15" s="161" t="s">
        <v>305</v>
      </c>
      <c r="E15" s="161" t="s">
        <v>297</v>
      </c>
      <c r="F15" s="162">
        <v>24.45</v>
      </c>
      <c r="G15" s="162"/>
      <c r="H15" s="162"/>
      <c r="I15" s="162"/>
      <c r="J15" s="174"/>
      <c r="K15" s="174"/>
      <c r="L15" s="14" t="s">
        <v>299</v>
      </c>
      <c r="M15" s="3"/>
    </row>
    <row r="16" spans="1:15" ht="15.75" x14ac:dyDescent="0.2">
      <c r="B16" s="3"/>
      <c r="C16" s="160"/>
      <c r="D16" s="161" t="s">
        <v>306</v>
      </c>
      <c r="E16" s="161" t="s">
        <v>297</v>
      </c>
      <c r="F16" s="162"/>
      <c r="G16" s="162">
        <v>52.68</v>
      </c>
      <c r="H16" s="162"/>
      <c r="I16" s="162"/>
      <c r="J16" s="174"/>
      <c r="K16" s="174"/>
      <c r="L16" s="14" t="s">
        <v>300</v>
      </c>
      <c r="M16" s="3"/>
    </row>
    <row r="17" spans="2:15" ht="15.75" x14ac:dyDescent="0.2">
      <c r="B17" s="3"/>
      <c r="C17" s="160"/>
      <c r="D17" s="161" t="s">
        <v>307</v>
      </c>
      <c r="E17" s="161" t="s">
        <v>297</v>
      </c>
      <c r="F17" s="162"/>
      <c r="G17" s="162"/>
      <c r="H17" s="162">
        <v>81.069999999999993</v>
      </c>
      <c r="I17" s="162"/>
      <c r="J17" s="174"/>
      <c r="K17" s="174"/>
      <c r="L17" s="14" t="s">
        <v>301</v>
      </c>
      <c r="M17" s="3"/>
    </row>
    <row r="18" spans="2:15" ht="15.75" x14ac:dyDescent="0.2">
      <c r="B18" s="3"/>
      <c r="C18" s="160"/>
      <c r="D18" s="161" t="s">
        <v>372</v>
      </c>
      <c r="E18" s="161" t="s">
        <v>297</v>
      </c>
      <c r="F18" s="162">
        <v>0</v>
      </c>
      <c r="G18" s="162">
        <v>25</v>
      </c>
      <c r="H18" s="162">
        <v>30</v>
      </c>
      <c r="I18" s="162">
        <v>45</v>
      </c>
      <c r="J18" s="174">
        <f>ROUNDUP(F15,0)</f>
        <v>25</v>
      </c>
      <c r="K18" s="174" t="s">
        <v>298</v>
      </c>
      <c r="L18" s="14" t="s">
        <v>84</v>
      </c>
      <c r="M18" s="150"/>
      <c r="N18" s="175"/>
      <c r="O18" s="175"/>
    </row>
    <row r="19" spans="2:15" ht="14.25" x14ac:dyDescent="0.2">
      <c r="B19" s="3"/>
      <c r="C19" s="160"/>
      <c r="D19" s="176"/>
      <c r="E19" s="176"/>
      <c r="F19" s="177"/>
      <c r="G19" s="177"/>
      <c r="H19" s="177"/>
      <c r="I19" s="177"/>
      <c r="J19" s="174">
        <f>I18</f>
        <v>45</v>
      </c>
      <c r="K19" s="174" t="s">
        <v>298</v>
      </c>
      <c r="L19" s="14" t="s">
        <v>107</v>
      </c>
      <c r="M19" s="150"/>
      <c r="N19" s="175"/>
      <c r="O19" s="175"/>
    </row>
    <row r="20" spans="2:15" ht="14.25" x14ac:dyDescent="0.2">
      <c r="B20" s="3"/>
      <c r="C20" s="160"/>
      <c r="D20" s="45"/>
      <c r="E20" s="45"/>
      <c r="F20" s="178"/>
      <c r="G20" s="178"/>
      <c r="H20" s="178"/>
      <c r="I20" s="179"/>
      <c r="J20" s="169">
        <f>ROUNDDOWN(H17,-1)</f>
        <v>80</v>
      </c>
      <c r="K20" s="174" t="s">
        <v>298</v>
      </c>
      <c r="L20" s="14" t="s">
        <v>106</v>
      </c>
      <c r="M20" s="150"/>
      <c r="N20" s="175"/>
      <c r="O20" s="175"/>
    </row>
    <row r="21" spans="2:15" x14ac:dyDescent="0.2">
      <c r="B21" s="3"/>
      <c r="C21" s="180"/>
      <c r="D21" s="180"/>
      <c r="E21" s="180"/>
      <c r="F21" s="180"/>
      <c r="G21" s="180"/>
      <c r="H21" s="180"/>
      <c r="I21" s="181"/>
      <c r="J21" s="182"/>
      <c r="K21" s="182"/>
      <c r="L21" s="14"/>
      <c r="M21" s="3"/>
    </row>
    <row r="22" spans="2:15" x14ac:dyDescent="0.2">
      <c r="B22" s="3"/>
      <c r="C22" s="78"/>
      <c r="D22" s="15"/>
      <c r="E22" s="15"/>
      <c r="F22" s="15"/>
      <c r="G22" s="15"/>
      <c r="H22" s="15"/>
      <c r="I22" s="183"/>
      <c r="J22" s="15"/>
      <c r="K22" s="15"/>
      <c r="L22" s="14"/>
      <c r="M22" s="3"/>
    </row>
    <row r="23" spans="2:15" x14ac:dyDescent="0.2">
      <c r="B23" s="3"/>
      <c r="C23" s="78"/>
      <c r="D23" s="78"/>
      <c r="E23" s="78"/>
      <c r="F23" s="78"/>
      <c r="G23" s="78"/>
      <c r="H23" s="78"/>
      <c r="I23" s="78"/>
      <c r="J23" s="78"/>
      <c r="K23" s="78"/>
      <c r="L23" s="14"/>
      <c r="M23" s="3"/>
    </row>
    <row r="24" spans="2:15" x14ac:dyDescent="0.2">
      <c r="B24" s="3"/>
      <c r="C24" s="128" t="s">
        <v>24</v>
      </c>
      <c r="D24" s="128" t="s">
        <v>22</v>
      </c>
      <c r="E24" s="128" t="s">
        <v>21</v>
      </c>
      <c r="F24" s="184"/>
      <c r="G24" s="184"/>
      <c r="H24" s="184"/>
      <c r="I24" s="48"/>
      <c r="J24" s="379" t="s">
        <v>98</v>
      </c>
      <c r="K24" s="379"/>
      <c r="L24" s="59" t="s">
        <v>23</v>
      </c>
      <c r="M24" s="3"/>
    </row>
    <row r="25" spans="2:15" x14ac:dyDescent="0.2">
      <c r="B25" s="3"/>
      <c r="C25" s="78" t="s">
        <v>26</v>
      </c>
      <c r="D25" s="185" t="s">
        <v>100</v>
      </c>
      <c r="E25" s="15" t="s">
        <v>102</v>
      </c>
      <c r="F25" s="15">
        <v>5</v>
      </c>
      <c r="G25" s="15"/>
      <c r="H25" s="15"/>
      <c r="I25" s="186"/>
      <c r="J25" s="187"/>
      <c r="K25" s="187"/>
      <c r="L25" s="14"/>
      <c r="M25" s="3"/>
    </row>
    <row r="26" spans="2:15" x14ac:dyDescent="0.2">
      <c r="B26" s="3"/>
      <c r="C26" s="184"/>
      <c r="D26" s="188" t="s">
        <v>103</v>
      </c>
      <c r="E26" s="184" t="s">
        <v>102</v>
      </c>
      <c r="F26" s="184">
        <v>10</v>
      </c>
      <c r="G26" s="184"/>
      <c r="H26" s="184"/>
      <c r="I26" s="189"/>
      <c r="J26" s="190">
        <v>8</v>
      </c>
      <c r="K26" s="190" t="s">
        <v>102</v>
      </c>
      <c r="L26" s="14" t="s">
        <v>104</v>
      </c>
      <c r="M26" s="3"/>
    </row>
    <row r="27" spans="2:15" x14ac:dyDescent="0.2">
      <c r="B27" s="3"/>
      <c r="C27" s="15"/>
      <c r="D27" s="15"/>
      <c r="E27" s="15"/>
      <c r="F27" s="15"/>
      <c r="G27" s="15"/>
      <c r="H27" s="15"/>
      <c r="I27" s="186"/>
      <c r="J27" s="187"/>
      <c r="K27" s="187"/>
      <c r="L27" s="15"/>
      <c r="M27" s="3"/>
    </row>
    <row r="28" spans="2:15" x14ac:dyDescent="0.2">
      <c r="B28" s="3"/>
      <c r="C28" s="191"/>
      <c r="D28" s="3"/>
      <c r="E28" s="3"/>
      <c r="F28" s="3"/>
      <c r="G28" s="3"/>
      <c r="H28" s="3"/>
      <c r="I28" s="191"/>
      <c r="J28" s="3"/>
      <c r="K28" s="3"/>
      <c r="L28" s="3"/>
      <c r="M28" s="3"/>
    </row>
    <row r="29" spans="2:15" x14ac:dyDescent="0.2">
      <c r="B29" s="3"/>
      <c r="C29" s="191"/>
      <c r="D29" s="3"/>
      <c r="E29" s="3"/>
      <c r="F29" s="3"/>
      <c r="G29" s="3"/>
      <c r="H29" s="3"/>
      <c r="I29" s="191"/>
      <c r="J29" s="3"/>
      <c r="K29" s="3"/>
      <c r="L29" s="3"/>
      <c r="M29" s="3"/>
    </row>
    <row r="30" spans="2:15" x14ac:dyDescent="0.2">
      <c r="B30" s="3"/>
      <c r="C30" s="191"/>
      <c r="D30" s="3"/>
      <c r="E30" s="3"/>
      <c r="F30" s="3"/>
      <c r="G30" s="3"/>
      <c r="H30" s="3"/>
      <c r="I30" s="191"/>
      <c r="J30" s="3"/>
      <c r="K30" s="3"/>
      <c r="L30" s="3"/>
      <c r="M30" s="3"/>
    </row>
    <row r="31" spans="2:15" x14ac:dyDescent="0.2">
      <c r="B31" s="3"/>
      <c r="C31" s="191"/>
      <c r="D31" s="3"/>
      <c r="E31" s="3"/>
      <c r="F31" s="3"/>
      <c r="G31" s="3"/>
      <c r="H31" s="3"/>
      <c r="I31" s="191"/>
      <c r="J31" s="3"/>
      <c r="K31" s="3"/>
      <c r="L31" s="3"/>
      <c r="M31" s="3"/>
    </row>
    <row r="32" spans="2:15" x14ac:dyDescent="0.2">
      <c r="B32" s="3"/>
      <c r="C32" s="191"/>
      <c r="D32" s="3"/>
      <c r="E32" s="3"/>
      <c r="F32" s="3"/>
      <c r="G32" s="3"/>
      <c r="H32" s="3"/>
      <c r="I32" s="191"/>
      <c r="J32" s="3"/>
      <c r="K32" s="3"/>
      <c r="L32" s="3"/>
      <c r="M32" s="3"/>
    </row>
    <row r="33" spans="2:13" x14ac:dyDescent="0.2">
      <c r="B33" s="3"/>
      <c r="C33" s="191"/>
      <c r="D33" s="3"/>
      <c r="E33" s="3"/>
      <c r="F33" s="3"/>
      <c r="G33" s="3"/>
      <c r="H33" s="3"/>
      <c r="I33" s="191"/>
      <c r="J33" s="3"/>
      <c r="K33" s="3"/>
      <c r="L33" s="3"/>
      <c r="M33" s="3"/>
    </row>
    <row r="34" spans="2:13" x14ac:dyDescent="0.2">
      <c r="B34" s="3"/>
      <c r="C34" s="191"/>
      <c r="D34" s="3"/>
      <c r="E34" s="3"/>
      <c r="F34" s="3"/>
      <c r="G34" s="3"/>
      <c r="H34" s="3"/>
      <c r="I34" s="191"/>
      <c r="J34" s="3"/>
      <c r="K34" s="3"/>
      <c r="L34" s="3"/>
      <c r="M34" s="3"/>
    </row>
  </sheetData>
  <sheetProtection algorithmName="SHA-512" hashValue="/Nrd4ZlzvU6DqRkiMfHFjyNrWmxvCyrVTo1TPOH7wtcSc2nJiZxAunO6e4u0U3W6Lq07Sa5OWq/gw2dPo56aRA==" saltValue="MFZeeQLARy1Mu5qgia4d8A==" spinCount="100000" sheet="1" objects="1" scenarios="1" selectLockedCells="1"/>
  <mergeCells count="5">
    <mergeCell ref="C3:D3"/>
    <mergeCell ref="J7:K7"/>
    <mergeCell ref="J8:K8"/>
    <mergeCell ref="J24:K24"/>
    <mergeCell ref="C5:K5"/>
  </mergeCells>
  <printOptions horizontalCentered="1"/>
  <pageMargins left="0.39370078740157483" right="0.39370078740157483" top="0.39370078740157483" bottom="0.59055118110236227" header="0.19685039370078741" footer="0.19685039370078741"/>
  <pageSetup paperSize="9" orientation="landscape" verticalDpi="60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CDA7-F2C8-4068-B1D1-BEEFE1AF72BE}">
  <sheetPr>
    <pageSetUpPr fitToPage="1"/>
  </sheetPr>
  <dimension ref="B2:BB171"/>
  <sheetViews>
    <sheetView zoomScale="90" zoomScaleNormal="90" workbookViewId="0">
      <selection activeCell="I9" sqref="I9"/>
    </sheetView>
  </sheetViews>
  <sheetFormatPr baseColWidth="10" defaultColWidth="9" defaultRowHeight="14.25" x14ac:dyDescent="0.2"/>
  <cols>
    <col min="1" max="1" width="3.25" style="2" customWidth="1"/>
    <col min="2" max="3" width="3.375" style="193" customWidth="1"/>
    <col min="4" max="4" width="44.375" style="193" customWidth="1"/>
    <col min="5" max="5" width="16.75" style="193" customWidth="1"/>
    <col min="6" max="6" width="2.5" style="193" customWidth="1"/>
    <col min="7" max="7" width="10.875" style="193" customWidth="1"/>
    <col min="8" max="8" width="2.5" style="193" customWidth="1"/>
    <col min="9" max="9" width="12.125" style="193" bestFit="1" customWidth="1"/>
    <col min="10" max="10" width="2.5" style="193" customWidth="1"/>
    <col min="11" max="11" width="12.375" style="193" customWidth="1"/>
    <col min="12" max="12" width="2.5" style="193" customWidth="1"/>
    <col min="13" max="13" width="12.125" style="193" bestFit="1" customWidth="1"/>
    <col min="14" max="14" width="2.5" style="193" customWidth="1"/>
    <col min="15" max="15" width="11" style="193"/>
    <col min="16" max="16" width="2.5" style="193" customWidth="1"/>
    <col min="17" max="17" width="12.125" style="193" bestFit="1" customWidth="1"/>
    <col min="18" max="18" width="2.5" style="193" customWidth="1"/>
    <col min="19" max="19" width="5.125" style="2" customWidth="1"/>
    <col min="20" max="21" width="3.375" style="193" customWidth="1"/>
    <col min="22" max="22" width="44.375" style="193" customWidth="1"/>
    <col min="23" max="23" width="16.75" style="193" customWidth="1"/>
    <col min="24" max="24" width="2.5" style="193" customWidth="1"/>
    <col min="25" max="25" width="10.875" style="193" customWidth="1"/>
    <col min="26" max="26" width="2.5" style="193" customWidth="1"/>
    <col min="27" max="27" width="12.125" style="193" bestFit="1" customWidth="1"/>
    <col min="28" max="28" width="2.5" style="193" customWidth="1"/>
    <col min="29" max="29" width="12.375" style="193" customWidth="1"/>
    <col min="30" max="30" width="2.5" style="193" customWidth="1"/>
    <col min="31" max="31" width="12.125" style="193" bestFit="1" customWidth="1"/>
    <col min="32" max="32" width="2.5" style="193" customWidth="1"/>
    <col min="33" max="33" width="9" style="193"/>
    <col min="34" max="34" width="2.5" style="193" customWidth="1"/>
    <col min="35" max="35" width="12.125" style="193" bestFit="1" customWidth="1"/>
    <col min="36" max="36" width="2.5" style="193" customWidth="1"/>
    <col min="37" max="37" width="5.125" style="2" customWidth="1"/>
    <col min="38" max="39" width="3.375" style="193" customWidth="1"/>
    <col min="40" max="40" width="44.375" style="193" customWidth="1"/>
    <col min="41" max="41" width="16.75" style="193" customWidth="1"/>
    <col min="42" max="42" width="2.5" style="193" customWidth="1"/>
    <col min="43" max="43" width="10.875" style="193" customWidth="1"/>
    <col min="44" max="44" width="2.5" style="193" customWidth="1"/>
    <col min="45" max="45" width="12.125" style="193" bestFit="1" customWidth="1"/>
    <col min="46" max="46" width="2.5" style="193" customWidth="1"/>
    <col min="47" max="47" width="12.375" style="193" customWidth="1"/>
    <col min="48" max="48" width="2.5" style="193" customWidth="1"/>
    <col min="49" max="49" width="12.125" style="193" bestFit="1" customWidth="1"/>
    <col min="50" max="50" width="2.5" style="193" customWidth="1"/>
    <col min="51" max="51" width="9" style="193"/>
    <col min="52" max="52" width="2.5" style="193" customWidth="1"/>
    <col min="53" max="53" width="12.125" style="193" bestFit="1" customWidth="1"/>
    <col min="54" max="54" width="2.5" style="193" customWidth="1"/>
    <col min="55" max="16384" width="9" style="2"/>
  </cols>
  <sheetData>
    <row r="2" spans="2:54" ht="23.25" x14ac:dyDescent="0.35">
      <c r="V2" s="194"/>
      <c r="AN2" s="194"/>
    </row>
    <row r="3" spans="2:54" ht="21.75" customHeight="1" x14ac:dyDescent="0.45">
      <c r="B3" s="195"/>
      <c r="C3" s="195"/>
      <c r="D3" s="196"/>
      <c r="E3" s="197"/>
      <c r="F3" s="195"/>
      <c r="G3" s="195"/>
      <c r="H3" s="195"/>
      <c r="I3" s="195"/>
      <c r="J3" s="195"/>
      <c r="K3" s="195"/>
      <c r="L3" s="195"/>
      <c r="M3" s="195"/>
      <c r="N3" s="195"/>
      <c r="O3" s="195"/>
      <c r="P3" s="195"/>
      <c r="Q3" s="195"/>
      <c r="R3" s="195"/>
      <c r="T3" s="195"/>
      <c r="U3" s="195"/>
      <c r="V3" s="196"/>
      <c r="W3" s="197"/>
      <c r="X3" s="195"/>
      <c r="Y3" s="195"/>
      <c r="Z3" s="195"/>
      <c r="AA3" s="195"/>
      <c r="AB3" s="195"/>
      <c r="AC3" s="195"/>
      <c r="AD3" s="195"/>
      <c r="AE3" s="195"/>
      <c r="AF3" s="195"/>
      <c r="AG3" s="195"/>
      <c r="AH3" s="195"/>
      <c r="AI3" s="195"/>
      <c r="AJ3" s="195"/>
      <c r="AL3" s="195"/>
      <c r="AM3" s="195"/>
      <c r="AN3" s="196"/>
      <c r="AO3" s="197"/>
      <c r="AP3" s="195"/>
      <c r="AQ3" s="195"/>
      <c r="AR3" s="195"/>
      <c r="AS3" s="195"/>
      <c r="AT3" s="195"/>
      <c r="AU3" s="195"/>
      <c r="AV3" s="195"/>
      <c r="AW3" s="195"/>
      <c r="AX3" s="195"/>
      <c r="AY3" s="195"/>
      <c r="AZ3" s="195"/>
      <c r="BA3" s="195"/>
      <c r="BB3" s="195"/>
    </row>
    <row r="4" spans="2:54" ht="33" x14ac:dyDescent="0.45">
      <c r="B4" s="195"/>
      <c r="C4" s="195"/>
      <c r="D4" s="198" t="s">
        <v>84</v>
      </c>
      <c r="E4" s="197"/>
      <c r="F4" s="197"/>
      <c r="G4" s="197"/>
      <c r="H4" s="197"/>
      <c r="I4" s="197"/>
      <c r="J4" s="197"/>
      <c r="K4" s="197"/>
      <c r="L4" s="197"/>
      <c r="M4" s="197"/>
      <c r="N4" s="197"/>
      <c r="O4" s="197"/>
      <c r="P4" s="197"/>
      <c r="Q4" s="197"/>
      <c r="R4" s="197"/>
      <c r="T4" s="195"/>
      <c r="U4" s="198" t="s">
        <v>94</v>
      </c>
      <c r="V4" s="198"/>
      <c r="W4" s="197"/>
      <c r="X4" s="197"/>
      <c r="Y4" s="197"/>
      <c r="Z4" s="197"/>
      <c r="AA4" s="197"/>
      <c r="AB4" s="197"/>
      <c r="AC4" s="197"/>
      <c r="AD4" s="197"/>
      <c r="AE4" s="197"/>
      <c r="AF4" s="197"/>
      <c r="AG4" s="197"/>
      <c r="AH4" s="197"/>
      <c r="AI4" s="197"/>
      <c r="AJ4" s="197"/>
      <c r="AL4" s="195"/>
      <c r="AM4" s="198" t="s">
        <v>95</v>
      </c>
      <c r="AN4" s="196"/>
      <c r="AO4" s="197"/>
      <c r="AP4" s="197"/>
      <c r="AQ4" s="197"/>
      <c r="AR4" s="197"/>
      <c r="AS4" s="197"/>
      <c r="AT4" s="197"/>
      <c r="AU4" s="197"/>
      <c r="AV4" s="197"/>
      <c r="AW4" s="197"/>
      <c r="AX4" s="197"/>
      <c r="AY4" s="197"/>
      <c r="AZ4" s="197"/>
      <c r="BA4" s="197"/>
      <c r="BB4" s="197"/>
    </row>
    <row r="5" spans="2:54" ht="18" x14ac:dyDescent="0.2">
      <c r="B5" s="199"/>
      <c r="C5" s="199"/>
      <c r="D5" s="200" t="s">
        <v>36</v>
      </c>
      <c r="E5" s="201"/>
      <c r="F5" s="199"/>
      <c r="G5" s="202" t="s">
        <v>96</v>
      </c>
      <c r="H5" s="202"/>
      <c r="I5" s="202"/>
      <c r="J5" s="202"/>
      <c r="K5" s="202"/>
      <c r="L5" s="202"/>
      <c r="M5" s="202"/>
      <c r="N5" s="202"/>
      <c r="O5" s="202"/>
      <c r="P5" s="202"/>
      <c r="Q5" s="202"/>
      <c r="R5" s="199"/>
      <c r="T5" s="199"/>
      <c r="U5" s="199"/>
      <c r="V5" s="200" t="s">
        <v>36</v>
      </c>
      <c r="W5" s="201"/>
      <c r="X5" s="199"/>
      <c r="Y5" s="202" t="s">
        <v>96</v>
      </c>
      <c r="Z5" s="202"/>
      <c r="AA5" s="202"/>
      <c r="AB5" s="202"/>
      <c r="AC5" s="202"/>
      <c r="AD5" s="202"/>
      <c r="AE5" s="202"/>
      <c r="AF5" s="202"/>
      <c r="AG5" s="202"/>
      <c r="AH5" s="202"/>
      <c r="AI5" s="202"/>
      <c r="AJ5" s="199"/>
      <c r="AL5" s="199"/>
      <c r="AM5" s="199"/>
      <c r="AN5" s="200" t="s">
        <v>36</v>
      </c>
      <c r="AO5" s="201"/>
      <c r="AP5" s="199"/>
      <c r="AQ5" s="202" t="s">
        <v>96</v>
      </c>
      <c r="AR5" s="202"/>
      <c r="AS5" s="202"/>
      <c r="AT5" s="202"/>
      <c r="AU5" s="202"/>
      <c r="AV5" s="202"/>
      <c r="AW5" s="202"/>
      <c r="AX5" s="202"/>
      <c r="AY5" s="202"/>
      <c r="AZ5" s="202"/>
      <c r="BA5" s="202"/>
      <c r="BB5" s="199"/>
    </row>
    <row r="6" spans="2:54" ht="18" x14ac:dyDescent="0.2">
      <c r="B6" s="199"/>
      <c r="C6" s="199"/>
      <c r="D6" s="200"/>
      <c r="E6" s="201"/>
      <c r="F6" s="199"/>
      <c r="G6" s="381" t="s">
        <v>27</v>
      </c>
      <c r="H6" s="381"/>
      <c r="I6" s="381"/>
      <c r="J6" s="3"/>
      <c r="K6" s="382" t="s">
        <v>28</v>
      </c>
      <c r="L6" s="382"/>
      <c r="M6" s="382"/>
      <c r="N6" s="3"/>
      <c r="O6" s="381" t="s">
        <v>29</v>
      </c>
      <c r="P6" s="381"/>
      <c r="Q6" s="381"/>
      <c r="R6" s="199"/>
      <c r="T6" s="199"/>
      <c r="U6" s="199"/>
      <c r="V6" s="200"/>
      <c r="W6" s="201"/>
      <c r="X6" s="199"/>
      <c r="Y6" s="381" t="s">
        <v>27</v>
      </c>
      <c r="Z6" s="381"/>
      <c r="AA6" s="381"/>
      <c r="AB6" s="3"/>
      <c r="AC6" s="382" t="s">
        <v>28</v>
      </c>
      <c r="AD6" s="382"/>
      <c r="AE6" s="382"/>
      <c r="AF6" s="3"/>
      <c r="AG6" s="381" t="s">
        <v>29</v>
      </c>
      <c r="AH6" s="381"/>
      <c r="AI6" s="381"/>
      <c r="AJ6" s="199"/>
      <c r="AL6" s="199"/>
      <c r="AM6" s="199"/>
      <c r="AN6" s="200"/>
      <c r="AO6" s="201"/>
      <c r="AP6" s="199"/>
      <c r="AQ6" s="381" t="s">
        <v>27</v>
      </c>
      <c r="AR6" s="381"/>
      <c r="AS6" s="381"/>
      <c r="AT6" s="3"/>
      <c r="AU6" s="382" t="s">
        <v>28</v>
      </c>
      <c r="AV6" s="382"/>
      <c r="AW6" s="382"/>
      <c r="AX6" s="3"/>
      <c r="AY6" s="381" t="s">
        <v>29</v>
      </c>
      <c r="AZ6" s="381"/>
      <c r="BA6" s="381"/>
      <c r="BB6" s="199"/>
    </row>
    <row r="7" spans="2:54" ht="25.5" x14ac:dyDescent="0.2">
      <c r="B7" s="203"/>
      <c r="C7" s="203"/>
      <c r="D7" s="204" t="s">
        <v>38</v>
      </c>
      <c r="E7" s="204" t="s">
        <v>39</v>
      </c>
      <c r="F7" s="3"/>
      <c r="G7" s="199" t="s">
        <v>83</v>
      </c>
      <c r="H7" s="199"/>
      <c r="I7" s="199" t="s">
        <v>80</v>
      </c>
      <c r="J7" s="199"/>
      <c r="K7" s="199" t="s">
        <v>83</v>
      </c>
      <c r="L7" s="199"/>
      <c r="M7" s="199" t="s">
        <v>80</v>
      </c>
      <c r="N7" s="199"/>
      <c r="O7" s="199" t="s">
        <v>83</v>
      </c>
      <c r="P7" s="199"/>
      <c r="Q7" s="199" t="s">
        <v>80</v>
      </c>
      <c r="R7" s="3"/>
      <c r="T7" s="203"/>
      <c r="U7" s="203"/>
      <c r="V7" s="204" t="s">
        <v>38</v>
      </c>
      <c r="W7" s="204" t="s">
        <v>39</v>
      </c>
      <c r="X7" s="3"/>
      <c r="Y7" s="199" t="s">
        <v>83</v>
      </c>
      <c r="Z7" s="199"/>
      <c r="AA7" s="199" t="s">
        <v>80</v>
      </c>
      <c r="AB7" s="199"/>
      <c r="AC7" s="199" t="s">
        <v>83</v>
      </c>
      <c r="AD7" s="199"/>
      <c r="AE7" s="199" t="s">
        <v>80</v>
      </c>
      <c r="AF7" s="199"/>
      <c r="AG7" s="199" t="s">
        <v>83</v>
      </c>
      <c r="AH7" s="199"/>
      <c r="AI7" s="199" t="s">
        <v>80</v>
      </c>
      <c r="AJ7" s="3"/>
      <c r="AL7" s="203"/>
      <c r="AM7" s="203"/>
      <c r="AN7" s="204" t="s">
        <v>38</v>
      </c>
      <c r="AO7" s="204" t="s">
        <v>39</v>
      </c>
      <c r="AP7" s="3"/>
      <c r="AQ7" s="199" t="s">
        <v>83</v>
      </c>
      <c r="AR7" s="199"/>
      <c r="AS7" s="199" t="s">
        <v>80</v>
      </c>
      <c r="AT7" s="199"/>
      <c r="AU7" s="199" t="s">
        <v>83</v>
      </c>
      <c r="AV7" s="199"/>
      <c r="AW7" s="199" t="s">
        <v>80</v>
      </c>
      <c r="AX7" s="199"/>
      <c r="AY7" s="199" t="s">
        <v>83</v>
      </c>
      <c r="AZ7" s="199"/>
      <c r="BA7" s="199" t="s">
        <v>80</v>
      </c>
      <c r="BB7" s="3"/>
    </row>
    <row r="8" spans="2:54" ht="12.75" x14ac:dyDescent="0.2">
      <c r="B8" s="205"/>
      <c r="C8" s="205" t="s">
        <v>93</v>
      </c>
      <c r="D8" s="204"/>
      <c r="E8" s="204"/>
      <c r="F8" s="3"/>
      <c r="G8" s="199"/>
      <c r="H8" s="199"/>
      <c r="I8" s="199"/>
      <c r="J8" s="199"/>
      <c r="K8" s="199"/>
      <c r="L8" s="199"/>
      <c r="M8" s="199"/>
      <c r="N8" s="199"/>
      <c r="O8" s="199"/>
      <c r="P8" s="199"/>
      <c r="Q8" s="199"/>
      <c r="R8" s="3"/>
      <c r="T8" s="203"/>
      <c r="U8" s="205" t="str">
        <f>C8</f>
        <v>Energieträger Betrieb</v>
      </c>
      <c r="V8" s="204"/>
      <c r="W8" s="204"/>
      <c r="X8" s="3"/>
      <c r="Y8" s="199"/>
      <c r="Z8" s="199"/>
      <c r="AA8" s="199"/>
      <c r="AB8" s="199"/>
      <c r="AC8" s="199"/>
      <c r="AD8" s="199"/>
      <c r="AE8" s="199"/>
      <c r="AF8" s="199"/>
      <c r="AG8" s="199"/>
      <c r="AH8" s="199"/>
      <c r="AI8" s="199"/>
      <c r="AJ8" s="3"/>
      <c r="AL8" s="203"/>
      <c r="AM8" s="205" t="str">
        <f>U8</f>
        <v>Energieträger Betrieb</v>
      </c>
      <c r="AN8" s="204"/>
      <c r="AO8" s="204"/>
      <c r="AP8" s="3"/>
      <c r="AQ8" s="199"/>
      <c r="AR8" s="199"/>
      <c r="AS8" s="199"/>
      <c r="AT8" s="199"/>
      <c r="AU8" s="199"/>
      <c r="AV8" s="199"/>
      <c r="AW8" s="199"/>
      <c r="AX8" s="199"/>
      <c r="AY8" s="199"/>
      <c r="AZ8" s="199"/>
      <c r="BA8" s="199"/>
      <c r="BB8" s="3"/>
    </row>
    <row r="9" spans="2:54" ht="15.75" x14ac:dyDescent="0.3">
      <c r="B9" s="206"/>
      <c r="C9" s="206"/>
      <c r="D9" s="3" t="str">
        <f>'Referenz Pflasterwerk'!E16</f>
        <v>Erdgas</v>
      </c>
      <c r="E9" s="3" t="s">
        <v>326</v>
      </c>
      <c r="F9" s="3"/>
      <c r="G9" s="206">
        <f>'Default EF'!G7</f>
        <v>1.8316E-4</v>
      </c>
      <c r="H9" s="3"/>
      <c r="I9" s="234"/>
      <c r="J9" s="3"/>
      <c r="K9" s="206"/>
      <c r="L9" s="3"/>
      <c r="M9" s="206"/>
      <c r="N9" s="3"/>
      <c r="O9" s="206">
        <f>'Default EF'!O7</f>
        <v>3.1350000000000003E-5</v>
      </c>
      <c r="P9" s="3"/>
      <c r="Q9" s="234"/>
      <c r="R9" s="3"/>
      <c r="T9" s="206"/>
      <c r="U9" s="206"/>
      <c r="V9" s="3" t="str">
        <f>D9</f>
        <v>Erdgas</v>
      </c>
      <c r="W9" s="3" t="s">
        <v>326</v>
      </c>
      <c r="X9" s="3"/>
      <c r="Y9" s="206">
        <f>'Default EF'!H7</f>
        <v>1.8316E-4</v>
      </c>
      <c r="Z9" s="3"/>
      <c r="AA9" s="234"/>
      <c r="AB9" s="3"/>
      <c r="AC9" s="206"/>
      <c r="AD9" s="3"/>
      <c r="AE9" s="206"/>
      <c r="AF9" s="3"/>
      <c r="AG9" s="207">
        <f>'Default EF'!P7</f>
        <v>3.1350000000000003E-5</v>
      </c>
      <c r="AH9" s="3"/>
      <c r="AI9" s="234"/>
      <c r="AJ9" s="3"/>
      <c r="AL9" s="206"/>
      <c r="AM9" s="206"/>
      <c r="AN9" s="3" t="str">
        <f>V9</f>
        <v>Erdgas</v>
      </c>
      <c r="AO9" s="3" t="s">
        <v>326</v>
      </c>
      <c r="AP9" s="3"/>
      <c r="AQ9" s="206">
        <f>'Default EF'!I7</f>
        <v>1.8316E-4</v>
      </c>
      <c r="AR9" s="3"/>
      <c r="AS9" s="234"/>
      <c r="AT9" s="3"/>
      <c r="AU9" s="206"/>
      <c r="AV9" s="3"/>
      <c r="AW9" s="206"/>
      <c r="AX9" s="3"/>
      <c r="AY9" s="207">
        <f>'Default EF'!Q7</f>
        <v>3.1350000000000003E-5</v>
      </c>
      <c r="AZ9" s="3"/>
      <c r="BA9" s="234"/>
      <c r="BB9" s="3"/>
    </row>
    <row r="10" spans="2:54" ht="12.75" x14ac:dyDescent="0.2">
      <c r="B10" s="206"/>
      <c r="C10" s="206"/>
      <c r="D10" s="3" t="str">
        <f>'Referenz Pflasterwerk'!E17</f>
        <v>Heizöl</v>
      </c>
      <c r="E10" s="3" t="s">
        <v>43</v>
      </c>
      <c r="F10" s="3"/>
      <c r="G10" s="206">
        <f>'Default EF'!G8</f>
        <v>2.6676E-4</v>
      </c>
      <c r="H10" s="3"/>
      <c r="I10" s="234"/>
      <c r="J10" s="3"/>
      <c r="K10" s="206"/>
      <c r="L10" s="3"/>
      <c r="M10" s="206"/>
      <c r="N10" s="3"/>
      <c r="O10" s="206">
        <f>'Default EF'!O8</f>
        <v>3.9576000000000002E-5</v>
      </c>
      <c r="P10" s="3"/>
      <c r="Q10" s="234"/>
      <c r="R10" s="3"/>
      <c r="T10" s="206"/>
      <c r="U10" s="206"/>
      <c r="V10" s="3" t="str">
        <f t="shared" ref="V10:V57" si="0">D10</f>
        <v>Heizöl</v>
      </c>
      <c r="W10" s="3" t="str">
        <f t="shared" ref="W10:W14" si="1">E10</f>
        <v>kWh</v>
      </c>
      <c r="X10" s="3"/>
      <c r="Y10" s="206">
        <f>'Default EF'!H8</f>
        <v>2.6676E-4</v>
      </c>
      <c r="Z10" s="3"/>
      <c r="AA10" s="234"/>
      <c r="AB10" s="3"/>
      <c r="AC10" s="206"/>
      <c r="AD10" s="3"/>
      <c r="AE10" s="206"/>
      <c r="AF10" s="3"/>
      <c r="AG10" s="207">
        <f>'Default EF'!P8</f>
        <v>3.9576000000000002E-5</v>
      </c>
      <c r="AH10" s="3"/>
      <c r="AI10" s="234"/>
      <c r="AJ10" s="3"/>
      <c r="AL10" s="206"/>
      <c r="AM10" s="206"/>
      <c r="AN10" s="3" t="str">
        <f t="shared" ref="AN10:AN14" si="2">V10</f>
        <v>Heizöl</v>
      </c>
      <c r="AO10" s="3" t="str">
        <f t="shared" ref="AO10:AO14" si="3">W10</f>
        <v>kWh</v>
      </c>
      <c r="AP10" s="3"/>
      <c r="AQ10" s="206">
        <f>'Default EF'!I8</f>
        <v>2.6676E-4</v>
      </c>
      <c r="AR10" s="3"/>
      <c r="AS10" s="234"/>
      <c r="AT10" s="3"/>
      <c r="AU10" s="206"/>
      <c r="AV10" s="3"/>
      <c r="AW10" s="206"/>
      <c r="AX10" s="3"/>
      <c r="AY10" s="207">
        <f>'Default EF'!Q8</f>
        <v>3.9576000000000002E-5</v>
      </c>
      <c r="AZ10" s="3"/>
      <c r="BA10" s="234"/>
      <c r="BB10" s="3"/>
    </row>
    <row r="11" spans="2:54" ht="12.75" x14ac:dyDescent="0.2">
      <c r="B11" s="206"/>
      <c r="C11" s="206"/>
      <c r="D11" s="3" t="s">
        <v>45</v>
      </c>
      <c r="E11" s="3" t="s">
        <v>43</v>
      </c>
      <c r="F11" s="3"/>
      <c r="G11" s="206"/>
      <c r="H11" s="206"/>
      <c r="I11" s="206"/>
      <c r="J11" s="206"/>
      <c r="K11" s="206">
        <f>'Default EF'!K9</f>
        <v>3.8200000000000002E-4</v>
      </c>
      <c r="L11" s="3"/>
      <c r="M11" s="234"/>
      <c r="N11" s="3"/>
      <c r="O11" s="206">
        <f>'Default EF'!O9</f>
        <v>5.5999999999999999E-5</v>
      </c>
      <c r="P11" s="3"/>
      <c r="Q11" s="234"/>
      <c r="R11" s="3"/>
      <c r="T11" s="206"/>
      <c r="U11" s="206"/>
      <c r="V11" s="3" t="s">
        <v>137</v>
      </c>
      <c r="W11" s="3" t="str">
        <f t="shared" si="1"/>
        <v>kWh</v>
      </c>
      <c r="X11" s="3"/>
      <c r="Y11" s="206"/>
      <c r="Z11" s="206"/>
      <c r="AA11" s="206"/>
      <c r="AB11" s="206"/>
      <c r="AC11" s="206">
        <f>'Default EF'!L9</f>
        <v>2.7753877130825199E-4</v>
      </c>
      <c r="AD11" s="3"/>
      <c r="AE11" s="234"/>
      <c r="AF11" s="3"/>
      <c r="AG11" s="207">
        <f>'Default EF'!P9</f>
        <v>4.0686312024246369E-5</v>
      </c>
      <c r="AH11" s="3"/>
      <c r="AI11" s="234"/>
      <c r="AJ11" s="3"/>
      <c r="AL11" s="206"/>
      <c r="AM11" s="206"/>
      <c r="AN11" s="3" t="str">
        <f t="shared" si="2"/>
        <v>Strommix Dtld (bis 2045 klimaneutral)</v>
      </c>
      <c r="AO11" s="3" t="str">
        <f t="shared" si="3"/>
        <v>kWh</v>
      </c>
      <c r="AP11" s="3"/>
      <c r="AQ11" s="206"/>
      <c r="AR11" s="206"/>
      <c r="AS11" s="206"/>
      <c r="AT11" s="206"/>
      <c r="AU11" s="206">
        <f>'Default EF'!M9</f>
        <v>1.3678345521357901E-4</v>
      </c>
      <c r="AV11" s="3"/>
      <c r="AW11" s="234"/>
      <c r="AX11" s="3"/>
      <c r="AY11" s="207">
        <f>'Default EF'!Q9</f>
        <v>2.0052024848063938E-5</v>
      </c>
      <c r="AZ11" s="3"/>
      <c r="BA11" s="234"/>
      <c r="BB11" s="3"/>
    </row>
    <row r="12" spans="2:54" ht="12.75" x14ac:dyDescent="0.2">
      <c r="B12" s="206"/>
      <c r="C12" s="206"/>
      <c r="D12" s="3" t="s">
        <v>126</v>
      </c>
      <c r="E12" s="3" t="s">
        <v>43</v>
      </c>
      <c r="F12" s="3"/>
      <c r="G12" s="207" t="str">
        <f>'Default EF'!G10</f>
        <v>k.A.</v>
      </c>
      <c r="H12" s="3"/>
      <c r="I12" s="234"/>
      <c r="J12" s="3"/>
      <c r="K12" s="207" t="str">
        <f>'Default EF'!K10</f>
        <v>k.A.</v>
      </c>
      <c r="L12" s="3"/>
      <c r="M12" s="234"/>
      <c r="N12" s="3"/>
      <c r="O12" s="207" t="str">
        <f>'Default EF'!O10</f>
        <v>k.A.</v>
      </c>
      <c r="P12" s="3"/>
      <c r="Q12" s="234"/>
      <c r="R12" s="3"/>
      <c r="T12" s="206"/>
      <c r="U12" s="206"/>
      <c r="V12" s="3" t="str">
        <f t="shared" si="0"/>
        <v>Alternative Energieträger Härtekammer</v>
      </c>
      <c r="W12" s="3" t="str">
        <f t="shared" si="1"/>
        <v>kWh</v>
      </c>
      <c r="X12" s="3"/>
      <c r="Y12" s="207" t="str">
        <f>'Default EF'!H10</f>
        <v>k.A.</v>
      </c>
      <c r="Z12" s="3"/>
      <c r="AA12" s="234"/>
      <c r="AB12" s="3"/>
      <c r="AC12" s="207" t="str">
        <f>'Default EF'!L10</f>
        <v>k.A.</v>
      </c>
      <c r="AD12" s="3"/>
      <c r="AE12" s="234"/>
      <c r="AF12" s="3"/>
      <c r="AG12" s="207" t="str">
        <f>'Default EF'!P10</f>
        <v>k.A.</v>
      </c>
      <c r="AH12" s="3"/>
      <c r="AI12" s="234"/>
      <c r="AJ12" s="3"/>
      <c r="AL12" s="206"/>
      <c r="AM12" s="206"/>
      <c r="AN12" s="3" t="str">
        <f t="shared" si="2"/>
        <v>Alternative Energieträger Härtekammer</v>
      </c>
      <c r="AO12" s="3" t="str">
        <f t="shared" si="3"/>
        <v>kWh</v>
      </c>
      <c r="AP12" s="3"/>
      <c r="AQ12" s="207" t="str">
        <f>'Default EF'!I10</f>
        <v>k.A.</v>
      </c>
      <c r="AR12" s="3"/>
      <c r="AS12" s="234"/>
      <c r="AT12" s="3"/>
      <c r="AU12" s="207" t="str">
        <f>'Default EF'!M10</f>
        <v>k.A.</v>
      </c>
      <c r="AV12" s="3"/>
      <c r="AW12" s="234"/>
      <c r="AX12" s="3"/>
      <c r="AY12" s="207" t="str">
        <f>'Default EF'!Q10</f>
        <v>k.A.</v>
      </c>
      <c r="AZ12" s="3"/>
      <c r="BA12" s="234"/>
      <c r="BB12" s="3"/>
    </row>
    <row r="13" spans="2:54" ht="12.75" x14ac:dyDescent="0.2">
      <c r="B13" s="206"/>
      <c r="C13" s="206"/>
      <c r="D13" s="208" t="s">
        <v>125</v>
      </c>
      <c r="E13" s="3" t="s">
        <v>43</v>
      </c>
      <c r="F13" s="3"/>
      <c r="G13" s="206">
        <f>'Default EF'!G11</f>
        <v>2.3030999999999998E-4</v>
      </c>
      <c r="H13" s="3"/>
      <c r="I13" s="234"/>
      <c r="J13" s="3"/>
      <c r="K13" s="206"/>
      <c r="L13" s="3"/>
      <c r="M13" s="206"/>
      <c r="N13" s="3"/>
      <c r="O13" s="206">
        <f>'Default EF'!O11</f>
        <v>2.7189999999999999E-5</v>
      </c>
      <c r="P13" s="3"/>
      <c r="Q13" s="234"/>
      <c r="R13" s="3"/>
      <c r="T13" s="206"/>
      <c r="U13" s="206"/>
      <c r="V13" s="3" t="str">
        <f t="shared" si="0"/>
        <v>Flüssiggas</v>
      </c>
      <c r="W13" s="3" t="str">
        <f t="shared" si="1"/>
        <v>kWh</v>
      </c>
      <c r="X13" s="3"/>
      <c r="Y13" s="206">
        <f>'Default EF'!H11</f>
        <v>2.3030999999999998E-4</v>
      </c>
      <c r="Z13" s="3"/>
      <c r="AA13" s="234"/>
      <c r="AB13" s="3"/>
      <c r="AC13" s="206"/>
      <c r="AD13" s="3"/>
      <c r="AE13" s="206"/>
      <c r="AF13" s="3"/>
      <c r="AG13" s="207">
        <f>'Default EF'!P11</f>
        <v>2.7189999999999999E-5</v>
      </c>
      <c r="AH13" s="3"/>
      <c r="AI13" s="234"/>
      <c r="AJ13" s="3"/>
      <c r="AL13" s="206"/>
      <c r="AM13" s="206"/>
      <c r="AN13" s="3" t="str">
        <f t="shared" si="2"/>
        <v>Flüssiggas</v>
      </c>
      <c r="AO13" s="3" t="str">
        <f t="shared" si="3"/>
        <v>kWh</v>
      </c>
      <c r="AP13" s="3"/>
      <c r="AQ13" s="206">
        <f>'Default EF'!I11</f>
        <v>2.3030999999999998E-4</v>
      </c>
      <c r="AR13" s="3"/>
      <c r="AS13" s="234"/>
      <c r="AT13" s="3"/>
      <c r="AU13" s="206"/>
      <c r="AV13" s="3"/>
      <c r="AW13" s="206"/>
      <c r="AX13" s="3"/>
      <c r="AY13" s="207">
        <f>'Default EF'!Q11</f>
        <v>2.7189999999999999E-5</v>
      </c>
      <c r="AZ13" s="3"/>
      <c r="BA13" s="234"/>
      <c r="BB13" s="3"/>
    </row>
    <row r="14" spans="2:54" ht="12.75" x14ac:dyDescent="0.2">
      <c r="B14" s="206"/>
      <c r="C14" s="206"/>
      <c r="D14" s="3" t="s">
        <v>463</v>
      </c>
      <c r="E14" s="3" t="s">
        <v>43</v>
      </c>
      <c r="F14" s="3"/>
      <c r="G14" s="207" t="str">
        <f>'Default EF'!G12</f>
        <v>k.A.</v>
      </c>
      <c r="H14" s="3"/>
      <c r="I14" s="234"/>
      <c r="J14" s="3"/>
      <c r="K14" s="207" t="str">
        <f>'Default EF'!K12</f>
        <v>k.A.</v>
      </c>
      <c r="L14" s="3"/>
      <c r="M14" s="234"/>
      <c r="N14" s="3"/>
      <c r="O14" s="207" t="str">
        <f>'Default EF'!O12</f>
        <v>k.A.</v>
      </c>
      <c r="P14" s="3"/>
      <c r="Q14" s="234"/>
      <c r="R14" s="3"/>
      <c r="T14" s="206"/>
      <c r="U14" s="206"/>
      <c r="V14" s="3" t="str">
        <f t="shared" si="0"/>
        <v>Alternative Energieträger restliches Werk</v>
      </c>
      <c r="W14" s="3" t="str">
        <f t="shared" si="1"/>
        <v>kWh</v>
      </c>
      <c r="X14" s="3"/>
      <c r="Y14" s="207" t="str">
        <f>'Default EF'!H12</f>
        <v>k.A.</v>
      </c>
      <c r="Z14" s="3"/>
      <c r="AA14" s="234"/>
      <c r="AB14" s="3"/>
      <c r="AC14" s="207" t="str">
        <f>'Default EF'!L12</f>
        <v>k.A.</v>
      </c>
      <c r="AD14" s="3"/>
      <c r="AE14" s="234"/>
      <c r="AF14" s="3"/>
      <c r="AG14" s="207" t="str">
        <f>'Default EF'!P12</f>
        <v>k.A.</v>
      </c>
      <c r="AH14" s="3"/>
      <c r="AI14" s="234"/>
      <c r="AJ14" s="3"/>
      <c r="AL14" s="206"/>
      <c r="AM14" s="206"/>
      <c r="AN14" s="3" t="str">
        <f t="shared" si="2"/>
        <v>Alternative Energieträger restliches Werk</v>
      </c>
      <c r="AO14" s="3" t="str">
        <f t="shared" si="3"/>
        <v>kWh</v>
      </c>
      <c r="AP14" s="3"/>
      <c r="AQ14" s="207" t="str">
        <f>'Default EF'!I12</f>
        <v>k.A.</v>
      </c>
      <c r="AR14" s="3"/>
      <c r="AS14" s="234"/>
      <c r="AT14" s="3"/>
      <c r="AU14" s="207" t="str">
        <f>'Default EF'!M12</f>
        <v>k.A.</v>
      </c>
      <c r="AV14" s="3"/>
      <c r="AW14" s="234"/>
      <c r="AX14" s="3"/>
      <c r="AY14" s="207" t="str">
        <f>'Default EF'!Q12</f>
        <v>k.A.</v>
      </c>
      <c r="AZ14" s="3"/>
      <c r="BA14" s="234"/>
      <c r="BB14" s="3"/>
    </row>
    <row r="15" spans="2:54" ht="12.75" x14ac:dyDescent="0.2">
      <c r="B15" s="206"/>
      <c r="C15" s="206"/>
      <c r="D15" s="208" t="s">
        <v>35</v>
      </c>
      <c r="E15" s="3" t="s">
        <v>42</v>
      </c>
      <c r="F15" s="3"/>
      <c r="G15" s="206">
        <f>'Default EF'!G13</f>
        <v>2.6580855599999996E-3</v>
      </c>
      <c r="H15" s="3"/>
      <c r="I15" s="234"/>
      <c r="J15" s="3"/>
      <c r="K15" s="206"/>
      <c r="L15" s="3"/>
      <c r="M15" s="206"/>
      <c r="N15" s="3"/>
      <c r="O15" s="206">
        <f>'Default EF'!O13</f>
        <v>4.6962396000000008E-4</v>
      </c>
      <c r="P15" s="3"/>
      <c r="Q15" s="234"/>
      <c r="R15" s="3"/>
      <c r="T15" s="206"/>
      <c r="U15" s="206"/>
      <c r="V15" s="3" t="str">
        <f t="shared" si="0"/>
        <v>Diesel</v>
      </c>
      <c r="W15" s="3" t="str">
        <f>E15</f>
        <v>Liter</v>
      </c>
      <c r="X15" s="3"/>
      <c r="Y15" s="206">
        <f>'Default EF'!H13</f>
        <v>2.6580855599999996E-3</v>
      </c>
      <c r="Z15" s="3"/>
      <c r="AA15" s="234"/>
      <c r="AB15" s="3"/>
      <c r="AC15" s="206"/>
      <c r="AD15" s="3"/>
      <c r="AE15" s="206"/>
      <c r="AF15" s="3"/>
      <c r="AG15" s="207">
        <f>'Default EF'!P13</f>
        <v>4.6962396000000008E-4</v>
      </c>
      <c r="AH15" s="3"/>
      <c r="AI15" s="234"/>
      <c r="AJ15" s="3"/>
      <c r="AL15" s="206"/>
      <c r="AM15" s="206"/>
      <c r="AN15" s="3" t="str">
        <f>V15</f>
        <v>Diesel</v>
      </c>
      <c r="AO15" s="3" t="str">
        <f>W15</f>
        <v>Liter</v>
      </c>
      <c r="AP15" s="3"/>
      <c r="AQ15" s="206">
        <f>'Default EF'!I13</f>
        <v>2.6580855599999996E-3</v>
      </c>
      <c r="AR15" s="3"/>
      <c r="AS15" s="234"/>
      <c r="AT15" s="3"/>
      <c r="AU15" s="206"/>
      <c r="AV15" s="3"/>
      <c r="AW15" s="206"/>
      <c r="AX15" s="3"/>
      <c r="AY15" s="207">
        <f>'Default EF'!Q13</f>
        <v>4.6962396000000008E-4</v>
      </c>
      <c r="AZ15" s="3"/>
      <c r="BA15" s="234"/>
      <c r="BB15" s="3"/>
    </row>
    <row r="16" spans="2:54" ht="12.75" x14ac:dyDescent="0.2">
      <c r="B16" s="206"/>
      <c r="C16" s="209"/>
      <c r="D16" s="208"/>
      <c r="E16" s="3"/>
      <c r="F16" s="3"/>
      <c r="G16" s="206"/>
      <c r="H16" s="206"/>
      <c r="I16" s="206"/>
      <c r="J16" s="206"/>
      <c r="K16" s="206"/>
      <c r="L16" s="3"/>
      <c r="M16" s="206"/>
      <c r="N16" s="3"/>
      <c r="O16" s="206"/>
      <c r="P16" s="206"/>
      <c r="Q16" s="206"/>
      <c r="R16" s="3"/>
      <c r="T16" s="206"/>
      <c r="U16" s="206"/>
      <c r="V16" s="3"/>
      <c r="W16" s="208"/>
      <c r="X16" s="208"/>
      <c r="Y16" s="208"/>
      <c r="Z16" s="208"/>
      <c r="AA16" s="208"/>
      <c r="AB16" s="208"/>
      <c r="AC16" s="208"/>
      <c r="AD16" s="208"/>
      <c r="AE16" s="208"/>
      <c r="AF16" s="208"/>
      <c r="AG16" s="210"/>
      <c r="AH16" s="208"/>
      <c r="AI16" s="206"/>
      <c r="AJ16" s="3"/>
      <c r="AL16" s="206"/>
      <c r="AM16" s="206"/>
      <c r="AN16" s="208"/>
      <c r="AO16" s="208"/>
      <c r="AP16" s="208"/>
      <c r="AQ16" s="208"/>
      <c r="AR16" s="208"/>
      <c r="AS16" s="208"/>
      <c r="AT16" s="208"/>
      <c r="AU16" s="208"/>
      <c r="AV16" s="208"/>
      <c r="AW16" s="208"/>
      <c r="AX16" s="208"/>
      <c r="AY16" s="210"/>
      <c r="AZ16" s="208"/>
      <c r="BA16" s="206"/>
      <c r="BB16" s="3"/>
    </row>
    <row r="17" spans="2:54" ht="12.75" x14ac:dyDescent="0.2">
      <c r="B17" s="206"/>
      <c r="C17" s="206"/>
      <c r="D17" s="208" t="s">
        <v>46</v>
      </c>
      <c r="E17" s="3" t="s">
        <v>42</v>
      </c>
      <c r="F17" s="3"/>
      <c r="G17" s="206"/>
      <c r="H17" s="3"/>
      <c r="I17" s="206"/>
      <c r="J17" s="3"/>
      <c r="K17" s="206"/>
      <c r="L17" s="3"/>
      <c r="M17" s="206"/>
      <c r="N17" s="3"/>
      <c r="O17" s="206">
        <f>'Default EF'!O15</f>
        <v>3.1277095199999999E-3</v>
      </c>
      <c r="P17" s="3"/>
      <c r="Q17" s="234"/>
      <c r="R17" s="3"/>
      <c r="T17" s="206"/>
      <c r="U17" s="206"/>
      <c r="V17" s="3" t="str">
        <f t="shared" si="0"/>
        <v>Transport vorgelagert</v>
      </c>
      <c r="W17" s="3" t="str">
        <f t="shared" ref="W17:W18" si="4">E17</f>
        <v>Liter</v>
      </c>
      <c r="X17" s="3"/>
      <c r="Y17" s="206"/>
      <c r="Z17" s="3"/>
      <c r="AA17" s="206"/>
      <c r="AB17" s="3"/>
      <c r="AC17" s="206"/>
      <c r="AD17" s="3"/>
      <c r="AE17" s="206"/>
      <c r="AF17" s="3"/>
      <c r="AG17" s="207">
        <f>'Default EF'!P15</f>
        <v>3.1277095199999999E-3</v>
      </c>
      <c r="AH17" s="3"/>
      <c r="AI17" s="234"/>
      <c r="AJ17" s="3"/>
      <c r="AL17" s="206"/>
      <c r="AM17" s="206"/>
      <c r="AN17" s="3" t="str">
        <f t="shared" ref="AN17:AN18" si="5">V17</f>
        <v>Transport vorgelagert</v>
      </c>
      <c r="AO17" s="3" t="str">
        <f t="shared" ref="AO17:AO18" si="6">W17</f>
        <v>Liter</v>
      </c>
      <c r="AP17" s="3"/>
      <c r="AQ17" s="206"/>
      <c r="AR17" s="3"/>
      <c r="AS17" s="206"/>
      <c r="AT17" s="3"/>
      <c r="AU17" s="206"/>
      <c r="AV17" s="3"/>
      <c r="AW17" s="206"/>
      <c r="AX17" s="3"/>
      <c r="AY17" s="207">
        <f>'Default EF'!Q15</f>
        <v>3.1277095199999999E-3</v>
      </c>
      <c r="AZ17" s="3"/>
      <c r="BA17" s="234"/>
      <c r="BB17" s="3"/>
    </row>
    <row r="18" spans="2:54" ht="12.75" x14ac:dyDescent="0.2">
      <c r="B18" s="206"/>
      <c r="C18" s="206"/>
      <c r="D18" s="208" t="s">
        <v>47</v>
      </c>
      <c r="E18" s="3" t="s">
        <v>42</v>
      </c>
      <c r="F18" s="3"/>
      <c r="G18" s="206"/>
      <c r="H18" s="3"/>
      <c r="I18" s="206"/>
      <c r="J18" s="3"/>
      <c r="K18" s="206"/>
      <c r="L18" s="3"/>
      <c r="M18" s="206"/>
      <c r="N18" s="3"/>
      <c r="O18" s="206">
        <f>'Default EF'!O16</f>
        <v>3.1277095199999999E-3</v>
      </c>
      <c r="P18" s="3"/>
      <c r="Q18" s="234"/>
      <c r="R18" s="3"/>
      <c r="T18" s="206"/>
      <c r="U18" s="206"/>
      <c r="V18" s="3" t="str">
        <f t="shared" si="0"/>
        <v>Transport nachgelagert</v>
      </c>
      <c r="W18" s="3" t="str">
        <f t="shared" si="4"/>
        <v>Liter</v>
      </c>
      <c r="X18" s="3"/>
      <c r="Y18" s="206"/>
      <c r="Z18" s="3"/>
      <c r="AA18" s="206"/>
      <c r="AB18" s="3"/>
      <c r="AC18" s="206"/>
      <c r="AD18" s="3"/>
      <c r="AE18" s="206"/>
      <c r="AF18" s="3"/>
      <c r="AG18" s="207">
        <f>'Default EF'!P16</f>
        <v>3.1277095199999999E-3</v>
      </c>
      <c r="AH18" s="3"/>
      <c r="AI18" s="234"/>
      <c r="AJ18" s="3"/>
      <c r="AL18" s="206"/>
      <c r="AM18" s="206"/>
      <c r="AN18" s="3" t="str">
        <f t="shared" si="5"/>
        <v>Transport nachgelagert</v>
      </c>
      <c r="AO18" s="3" t="str">
        <f t="shared" si="6"/>
        <v>Liter</v>
      </c>
      <c r="AP18" s="3"/>
      <c r="AQ18" s="206"/>
      <c r="AR18" s="3"/>
      <c r="AS18" s="206"/>
      <c r="AT18" s="3"/>
      <c r="AU18" s="206"/>
      <c r="AV18" s="3"/>
      <c r="AW18" s="206"/>
      <c r="AX18" s="3"/>
      <c r="AY18" s="207">
        <f>'Default EF'!Q16</f>
        <v>3.1277095199999999E-3</v>
      </c>
      <c r="AZ18" s="3"/>
      <c r="BA18" s="234"/>
      <c r="BB18" s="3"/>
    </row>
    <row r="19" spans="2:54" ht="12.75" x14ac:dyDescent="0.2">
      <c r="B19" s="206"/>
      <c r="C19" s="206"/>
      <c r="D19" s="3"/>
      <c r="E19" s="3"/>
      <c r="F19" s="3"/>
      <c r="G19" s="206"/>
      <c r="H19" s="3"/>
      <c r="I19" s="206"/>
      <c r="J19" s="3"/>
      <c r="K19" s="206"/>
      <c r="L19" s="3"/>
      <c r="M19" s="206"/>
      <c r="N19" s="3"/>
      <c r="O19" s="206"/>
      <c r="P19" s="3"/>
      <c r="Q19" s="206"/>
      <c r="R19" s="3"/>
      <c r="T19" s="206"/>
      <c r="U19" s="206"/>
      <c r="V19" s="3"/>
      <c r="W19" s="3"/>
      <c r="X19" s="3"/>
      <c r="Y19" s="206"/>
      <c r="Z19" s="3"/>
      <c r="AA19" s="206"/>
      <c r="AB19" s="3"/>
      <c r="AC19" s="206"/>
      <c r="AD19" s="3"/>
      <c r="AE19" s="206"/>
      <c r="AF19" s="3"/>
      <c r="AG19" s="207"/>
      <c r="AH19" s="3"/>
      <c r="AI19" s="206"/>
      <c r="AJ19" s="3"/>
      <c r="AL19" s="206"/>
      <c r="AM19" s="206"/>
      <c r="AN19" s="3"/>
      <c r="AO19" s="3"/>
      <c r="AP19" s="3"/>
      <c r="AQ19" s="206"/>
      <c r="AR19" s="3"/>
      <c r="AS19" s="206"/>
      <c r="AT19" s="3"/>
      <c r="AU19" s="206"/>
      <c r="AV19" s="3"/>
      <c r="AW19" s="206"/>
      <c r="AX19" s="3"/>
      <c r="AY19" s="207"/>
      <c r="AZ19" s="3"/>
      <c r="BA19" s="206"/>
      <c r="BB19" s="3"/>
    </row>
    <row r="20" spans="2:54" x14ac:dyDescent="0.2">
      <c r="B20" s="8"/>
      <c r="C20" s="8" t="s">
        <v>449</v>
      </c>
      <c r="D20" s="8"/>
      <c r="E20" s="3"/>
      <c r="F20" s="3"/>
      <c r="G20" s="206"/>
      <c r="H20" s="3"/>
      <c r="I20" s="206"/>
      <c r="J20" s="3"/>
      <c r="K20" s="206"/>
      <c r="L20" s="3"/>
      <c r="M20" s="206"/>
      <c r="N20" s="3"/>
      <c r="O20" s="206"/>
      <c r="P20" s="3"/>
      <c r="Q20" s="206"/>
      <c r="R20" s="3"/>
      <c r="T20" s="206"/>
      <c r="U20" s="8" t="s">
        <v>69</v>
      </c>
      <c r="V20" s="3"/>
      <c r="W20" s="3"/>
      <c r="X20" s="3"/>
      <c r="Y20" s="206"/>
      <c r="Z20" s="3"/>
      <c r="AA20" s="206"/>
      <c r="AB20" s="3"/>
      <c r="AC20" s="206"/>
      <c r="AD20" s="3"/>
      <c r="AE20" s="206"/>
      <c r="AF20" s="3"/>
      <c r="AG20" s="207"/>
      <c r="AH20" s="3"/>
      <c r="AI20" s="206"/>
      <c r="AJ20" s="3"/>
      <c r="AL20" s="206"/>
      <c r="AM20" s="205" t="str">
        <f>U20</f>
        <v>Zement</v>
      </c>
      <c r="AN20" s="8"/>
      <c r="AO20" s="3"/>
      <c r="AP20" s="3"/>
      <c r="AQ20" s="206"/>
      <c r="AR20" s="3"/>
      <c r="AS20" s="206"/>
      <c r="AT20" s="3"/>
      <c r="AU20" s="206"/>
      <c r="AV20" s="3"/>
      <c r="AW20" s="206"/>
      <c r="AX20" s="3"/>
      <c r="AY20" s="207"/>
      <c r="AZ20" s="3"/>
      <c r="BA20" s="206"/>
      <c r="BB20" s="3"/>
    </row>
    <row r="21" spans="2:54" ht="12.75" x14ac:dyDescent="0.2">
      <c r="B21" s="206"/>
      <c r="C21" s="206"/>
      <c r="D21" s="3" t="str">
        <f>'Referenz Pflasterwerk'!D36</f>
        <v>Zement - CEM I</v>
      </c>
      <c r="E21" s="3" t="s">
        <v>49</v>
      </c>
      <c r="F21" s="3"/>
      <c r="G21" s="206"/>
      <c r="H21" s="3"/>
      <c r="I21" s="206"/>
      <c r="J21" s="3"/>
      <c r="K21" s="206"/>
      <c r="L21" s="3"/>
      <c r="M21" s="206"/>
      <c r="N21" s="3"/>
      <c r="O21" s="206">
        <f>'Default EF'!O19</f>
        <v>0.66500000000000004</v>
      </c>
      <c r="P21" s="3"/>
      <c r="Q21" s="234"/>
      <c r="R21" s="3"/>
      <c r="T21" s="206"/>
      <c r="U21" s="206"/>
      <c r="V21" s="3" t="str">
        <f t="shared" si="0"/>
        <v>Zement - CEM I</v>
      </c>
      <c r="W21" s="3" t="str">
        <f t="shared" ref="W21:W24" si="7">E21</f>
        <v>t</v>
      </c>
      <c r="X21" s="3"/>
      <c r="Y21" s="206"/>
      <c r="Z21" s="3"/>
      <c r="AA21" s="206"/>
      <c r="AB21" s="3"/>
      <c r="AC21" s="206"/>
      <c r="AD21" s="3"/>
      <c r="AE21" s="206"/>
      <c r="AF21" s="3"/>
      <c r="AG21" s="207">
        <f>'Default EF'!P19</f>
        <v>0.66500000000000004</v>
      </c>
      <c r="AH21" s="3"/>
      <c r="AI21" s="234"/>
      <c r="AJ21" s="3"/>
      <c r="AL21" s="206"/>
      <c r="AM21" s="206"/>
      <c r="AN21" s="3" t="str">
        <f t="shared" ref="AN21:AN24" si="8">V21</f>
        <v>Zement - CEM I</v>
      </c>
      <c r="AO21" s="3" t="str">
        <f t="shared" ref="AO21:AO24" si="9">W21</f>
        <v>t</v>
      </c>
      <c r="AP21" s="3"/>
      <c r="AQ21" s="206"/>
      <c r="AR21" s="3"/>
      <c r="AS21" s="206"/>
      <c r="AT21" s="3"/>
      <c r="AU21" s="206"/>
      <c r="AV21" s="3"/>
      <c r="AW21" s="206"/>
      <c r="AX21" s="3"/>
      <c r="AY21" s="207">
        <f>'Default EF'!Q19</f>
        <v>0.66500000000000004</v>
      </c>
      <c r="AZ21" s="3"/>
      <c r="BA21" s="234"/>
      <c r="BB21" s="3"/>
    </row>
    <row r="22" spans="2:54" ht="12.75" x14ac:dyDescent="0.2">
      <c r="B22" s="206"/>
      <c r="C22" s="206"/>
      <c r="D22" s="3" t="str">
        <f>'Referenz Pflasterwerk'!D37</f>
        <v>Zement - CEM II</v>
      </c>
      <c r="E22" s="3" t="s">
        <v>49</v>
      </c>
      <c r="F22" s="3"/>
      <c r="G22" s="206"/>
      <c r="H22" s="3"/>
      <c r="I22" s="206"/>
      <c r="J22" s="3"/>
      <c r="K22" s="206"/>
      <c r="L22" s="3"/>
      <c r="M22" s="206"/>
      <c r="N22" s="3"/>
      <c r="O22" s="206">
        <f>'Default EF'!O20</f>
        <v>0.55300000000000005</v>
      </c>
      <c r="P22" s="3"/>
      <c r="Q22" s="234"/>
      <c r="R22" s="3"/>
      <c r="T22" s="206"/>
      <c r="U22" s="206"/>
      <c r="V22" s="3" t="str">
        <f t="shared" si="0"/>
        <v>Zement - CEM II</v>
      </c>
      <c r="W22" s="3" t="str">
        <f t="shared" si="7"/>
        <v>t</v>
      </c>
      <c r="X22" s="3"/>
      <c r="Y22" s="206"/>
      <c r="Z22" s="3"/>
      <c r="AA22" s="206"/>
      <c r="AB22" s="3"/>
      <c r="AC22" s="206"/>
      <c r="AD22" s="3"/>
      <c r="AE22" s="206"/>
      <c r="AF22" s="3"/>
      <c r="AG22" s="207">
        <f>'Default EF'!P20</f>
        <v>0.55300000000000005</v>
      </c>
      <c r="AH22" s="3"/>
      <c r="AI22" s="234"/>
      <c r="AJ22" s="3"/>
      <c r="AL22" s="206"/>
      <c r="AM22" s="206"/>
      <c r="AN22" s="3" t="str">
        <f t="shared" si="8"/>
        <v>Zement - CEM II</v>
      </c>
      <c r="AO22" s="3" t="str">
        <f t="shared" si="9"/>
        <v>t</v>
      </c>
      <c r="AP22" s="3"/>
      <c r="AQ22" s="206"/>
      <c r="AR22" s="3"/>
      <c r="AS22" s="206"/>
      <c r="AT22" s="3"/>
      <c r="AU22" s="206"/>
      <c r="AV22" s="3"/>
      <c r="AW22" s="206"/>
      <c r="AX22" s="3"/>
      <c r="AY22" s="207">
        <f>'Default EF'!Q20</f>
        <v>0.55300000000000005</v>
      </c>
      <c r="AZ22" s="3"/>
      <c r="BA22" s="234"/>
      <c r="BB22" s="3"/>
    </row>
    <row r="23" spans="2:54" ht="12.75" x14ac:dyDescent="0.2">
      <c r="B23" s="206"/>
      <c r="C23" s="206"/>
      <c r="D23" s="3" t="str">
        <f>'Referenz Pflasterwerk'!D38</f>
        <v>Weißzement</v>
      </c>
      <c r="E23" s="3" t="s">
        <v>49</v>
      </c>
      <c r="F23" s="3"/>
      <c r="G23" s="206"/>
      <c r="H23" s="3"/>
      <c r="I23" s="206"/>
      <c r="J23" s="3"/>
      <c r="K23" s="206"/>
      <c r="L23" s="3"/>
      <c r="M23" s="206"/>
      <c r="N23" s="3"/>
      <c r="O23" s="206">
        <f>'Default EF'!O21</f>
        <v>0.84499999999999997</v>
      </c>
      <c r="P23" s="3"/>
      <c r="Q23" s="234"/>
      <c r="R23" s="3"/>
      <c r="T23" s="206"/>
      <c r="U23" s="206"/>
      <c r="V23" s="3" t="str">
        <f t="shared" si="0"/>
        <v>Weißzement</v>
      </c>
      <c r="W23" s="3" t="str">
        <f t="shared" si="7"/>
        <v>t</v>
      </c>
      <c r="X23" s="3"/>
      <c r="Y23" s="206"/>
      <c r="Z23" s="3"/>
      <c r="AA23" s="206"/>
      <c r="AB23" s="3"/>
      <c r="AC23" s="206"/>
      <c r="AD23" s="3"/>
      <c r="AE23" s="206"/>
      <c r="AF23" s="3"/>
      <c r="AG23" s="207">
        <f>'Default EF'!P21</f>
        <v>0.84499999999999997</v>
      </c>
      <c r="AH23" s="3"/>
      <c r="AI23" s="234"/>
      <c r="AJ23" s="3"/>
      <c r="AL23" s="206"/>
      <c r="AM23" s="206"/>
      <c r="AN23" s="3" t="str">
        <f t="shared" si="8"/>
        <v>Weißzement</v>
      </c>
      <c r="AO23" s="3" t="str">
        <f t="shared" si="9"/>
        <v>t</v>
      </c>
      <c r="AP23" s="3"/>
      <c r="AQ23" s="206"/>
      <c r="AR23" s="3"/>
      <c r="AS23" s="206"/>
      <c r="AT23" s="3"/>
      <c r="AU23" s="206"/>
      <c r="AV23" s="3"/>
      <c r="AW23" s="206"/>
      <c r="AX23" s="3"/>
      <c r="AY23" s="207">
        <f>'Default EF'!Q21</f>
        <v>0.84499999999999997</v>
      </c>
      <c r="AZ23" s="3"/>
      <c r="BA23" s="234"/>
      <c r="BB23" s="3"/>
    </row>
    <row r="24" spans="2:54" ht="12.75" x14ac:dyDescent="0.2">
      <c r="B24" s="206"/>
      <c r="C24" s="206"/>
      <c r="D24" s="3" t="str">
        <f>'Referenz Pflasterwerk'!D39</f>
        <v>Weitere Zementsorte</v>
      </c>
      <c r="E24" s="3" t="s">
        <v>49</v>
      </c>
      <c r="F24" s="3"/>
      <c r="G24" s="206"/>
      <c r="H24" s="3"/>
      <c r="I24" s="206"/>
      <c r="J24" s="3"/>
      <c r="K24" s="206"/>
      <c r="L24" s="3"/>
      <c r="M24" s="206"/>
      <c r="N24" s="3"/>
      <c r="O24" s="207" t="str">
        <f>'Default EF'!O22</f>
        <v>k.A.</v>
      </c>
      <c r="P24" s="3"/>
      <c r="Q24" s="234"/>
      <c r="R24" s="3"/>
      <c r="T24" s="206"/>
      <c r="U24" s="206"/>
      <c r="V24" s="3" t="str">
        <f t="shared" si="0"/>
        <v>Weitere Zementsorte</v>
      </c>
      <c r="W24" s="3" t="str">
        <f t="shared" si="7"/>
        <v>t</v>
      </c>
      <c r="X24" s="3"/>
      <c r="Y24" s="206"/>
      <c r="Z24" s="3"/>
      <c r="AA24" s="206"/>
      <c r="AB24" s="3"/>
      <c r="AC24" s="206"/>
      <c r="AD24" s="3"/>
      <c r="AE24" s="206"/>
      <c r="AF24" s="3"/>
      <c r="AG24" s="207" t="str">
        <f>'Default EF'!P22</f>
        <v>k.A.</v>
      </c>
      <c r="AH24" s="3"/>
      <c r="AI24" s="234"/>
      <c r="AJ24" s="3"/>
      <c r="AL24" s="206"/>
      <c r="AM24" s="206"/>
      <c r="AN24" s="3" t="str">
        <f t="shared" si="8"/>
        <v>Weitere Zementsorte</v>
      </c>
      <c r="AO24" s="3" t="str">
        <f t="shared" si="9"/>
        <v>t</v>
      </c>
      <c r="AP24" s="3"/>
      <c r="AQ24" s="206"/>
      <c r="AR24" s="3"/>
      <c r="AS24" s="206"/>
      <c r="AT24" s="3"/>
      <c r="AU24" s="206"/>
      <c r="AV24" s="3"/>
      <c r="AW24" s="206"/>
      <c r="AX24" s="3"/>
      <c r="AY24" s="207" t="str">
        <f>'Default EF'!Q22</f>
        <v>k.A.</v>
      </c>
      <c r="AZ24" s="3"/>
      <c r="BA24" s="234"/>
      <c r="BB24" s="3"/>
    </row>
    <row r="25" spans="2:54" ht="12.75" x14ac:dyDescent="0.2">
      <c r="B25" s="206"/>
      <c r="C25" s="206"/>
      <c r="D25" s="3"/>
      <c r="E25" s="3"/>
      <c r="F25" s="3"/>
      <c r="G25" s="206"/>
      <c r="H25" s="3"/>
      <c r="I25" s="206"/>
      <c r="J25" s="3"/>
      <c r="K25" s="206"/>
      <c r="L25" s="3"/>
      <c r="M25" s="206"/>
      <c r="N25" s="3"/>
      <c r="O25" s="211"/>
      <c r="P25" s="3"/>
      <c r="Q25" s="211"/>
      <c r="R25" s="3"/>
      <c r="T25" s="206"/>
      <c r="U25" s="206"/>
      <c r="V25" s="3"/>
      <c r="W25" s="3"/>
      <c r="X25" s="3"/>
      <c r="Y25" s="206"/>
      <c r="Z25" s="3"/>
      <c r="AA25" s="206"/>
      <c r="AB25" s="3"/>
      <c r="AC25" s="206"/>
      <c r="AD25" s="3"/>
      <c r="AE25" s="206"/>
      <c r="AF25" s="3"/>
      <c r="AG25" s="211"/>
      <c r="AH25" s="3"/>
      <c r="AI25" s="211"/>
      <c r="AJ25" s="3"/>
      <c r="AL25" s="206"/>
      <c r="AM25" s="206"/>
      <c r="AN25" s="3"/>
      <c r="AO25" s="3"/>
      <c r="AP25" s="3"/>
      <c r="AQ25" s="206"/>
      <c r="AR25" s="3"/>
      <c r="AS25" s="206"/>
      <c r="AT25" s="3"/>
      <c r="AU25" s="206"/>
      <c r="AV25" s="3"/>
      <c r="AW25" s="206"/>
      <c r="AX25" s="3"/>
      <c r="AY25" s="211"/>
      <c r="AZ25" s="3"/>
      <c r="BA25" s="211"/>
      <c r="BB25" s="3"/>
    </row>
    <row r="26" spans="2:54" ht="12.75" x14ac:dyDescent="0.2">
      <c r="B26" s="206"/>
      <c r="C26" s="8" t="str">
        <f>'Referenz Pflasterwerk'!D41</f>
        <v>Gesteinskörnungen (Zuschlagsstoffe)</v>
      </c>
      <c r="D26" s="3"/>
      <c r="E26" s="3"/>
      <c r="F26" s="3"/>
      <c r="G26" s="206"/>
      <c r="H26" s="3"/>
      <c r="I26" s="206"/>
      <c r="J26" s="3"/>
      <c r="K26" s="206"/>
      <c r="L26" s="3"/>
      <c r="M26" s="206"/>
      <c r="N26" s="3"/>
      <c r="O26" s="211"/>
      <c r="P26" s="3"/>
      <c r="Q26" s="211"/>
      <c r="R26" s="3"/>
      <c r="T26" s="206"/>
      <c r="U26" s="209" t="str">
        <f>C26</f>
        <v>Gesteinskörnungen (Zuschlagsstoffe)</v>
      </c>
      <c r="V26" s="3"/>
      <c r="W26" s="3"/>
      <c r="X26" s="3"/>
      <c r="Y26" s="206"/>
      <c r="Z26" s="3"/>
      <c r="AA26" s="206"/>
      <c r="AB26" s="3"/>
      <c r="AC26" s="206"/>
      <c r="AD26" s="3"/>
      <c r="AE26" s="206"/>
      <c r="AF26" s="3"/>
      <c r="AG26" s="211"/>
      <c r="AH26" s="3"/>
      <c r="AI26" s="211"/>
      <c r="AJ26" s="3"/>
      <c r="AL26" s="206"/>
      <c r="AM26" s="205" t="str">
        <f>U26</f>
        <v>Gesteinskörnungen (Zuschlagsstoffe)</v>
      </c>
      <c r="AN26" s="3"/>
      <c r="AO26" s="3"/>
      <c r="AP26" s="3"/>
      <c r="AQ26" s="206"/>
      <c r="AR26" s="3"/>
      <c r="AS26" s="206"/>
      <c r="AT26" s="3"/>
      <c r="AU26" s="206"/>
      <c r="AV26" s="3"/>
      <c r="AW26" s="206"/>
      <c r="AX26" s="3"/>
      <c r="AY26" s="211"/>
      <c r="AZ26" s="3"/>
      <c r="BA26" s="211"/>
      <c r="BB26" s="3"/>
    </row>
    <row r="27" spans="2:54" ht="12.75" x14ac:dyDescent="0.2">
      <c r="B27" s="206"/>
      <c r="C27" s="206"/>
      <c r="D27" s="3" t="str">
        <f>'Referenz Pflasterwerk'!D42</f>
        <v>Sand, Kies</v>
      </c>
      <c r="E27" s="3" t="s">
        <v>49</v>
      </c>
      <c r="F27" s="3"/>
      <c r="G27" s="206"/>
      <c r="H27" s="3"/>
      <c r="I27" s="206"/>
      <c r="J27" s="3"/>
      <c r="K27" s="206"/>
      <c r="L27" s="3"/>
      <c r="M27" s="206"/>
      <c r="N27" s="3"/>
      <c r="O27" s="206">
        <f>'Default EF'!O25</f>
        <v>4.8500000000000001E-3</v>
      </c>
      <c r="P27" s="3"/>
      <c r="Q27" s="234"/>
      <c r="R27" s="3"/>
      <c r="T27" s="206"/>
      <c r="U27" s="206"/>
      <c r="V27" s="3" t="str">
        <f t="shared" si="0"/>
        <v>Sand, Kies</v>
      </c>
      <c r="W27" s="3" t="str">
        <f>E27</f>
        <v>t</v>
      </c>
      <c r="X27" s="3"/>
      <c r="Y27" s="206"/>
      <c r="Z27" s="3"/>
      <c r="AA27" s="206"/>
      <c r="AB27" s="3"/>
      <c r="AC27" s="206"/>
      <c r="AD27" s="3"/>
      <c r="AE27" s="206"/>
      <c r="AF27" s="3"/>
      <c r="AG27" s="207">
        <f>'Default EF'!P25</f>
        <v>4.8500000000000001E-3</v>
      </c>
      <c r="AH27" s="3"/>
      <c r="AI27" s="234"/>
      <c r="AJ27" s="3"/>
      <c r="AL27" s="206"/>
      <c r="AM27" s="206"/>
      <c r="AN27" s="3" t="str">
        <f t="shared" ref="AN27:AN29" si="10">V27</f>
        <v>Sand, Kies</v>
      </c>
      <c r="AO27" s="3" t="str">
        <f t="shared" ref="AO27:AO29" si="11">W27</f>
        <v>t</v>
      </c>
      <c r="AP27" s="3"/>
      <c r="AQ27" s="206"/>
      <c r="AR27" s="3"/>
      <c r="AS27" s="206"/>
      <c r="AT27" s="3"/>
      <c r="AU27" s="206"/>
      <c r="AV27" s="3"/>
      <c r="AW27" s="206"/>
      <c r="AX27" s="3"/>
      <c r="AY27" s="207">
        <f>'Default EF'!Q25</f>
        <v>4.8500000000000001E-3</v>
      </c>
      <c r="AZ27" s="3"/>
      <c r="BA27" s="234"/>
      <c r="BB27" s="3"/>
    </row>
    <row r="28" spans="2:54" ht="12.75" x14ac:dyDescent="0.2">
      <c r="B28" s="206"/>
      <c r="C28" s="206"/>
      <c r="D28" s="3" t="str">
        <f>'Referenz Pflasterwerk'!D43</f>
        <v>Brechsand, Splitt</v>
      </c>
      <c r="E28" s="3" t="s">
        <v>49</v>
      </c>
      <c r="F28" s="3"/>
      <c r="G28" s="206"/>
      <c r="H28" s="3"/>
      <c r="I28" s="206"/>
      <c r="J28" s="3"/>
      <c r="K28" s="206"/>
      <c r="L28" s="3"/>
      <c r="M28" s="206"/>
      <c r="N28" s="3"/>
      <c r="O28" s="207" t="str">
        <f>'Default EF'!O26</f>
        <v>k.A.</v>
      </c>
      <c r="P28" s="3"/>
      <c r="Q28" s="234"/>
      <c r="R28" s="3"/>
      <c r="T28" s="206"/>
      <c r="U28" s="206"/>
      <c r="V28" s="3" t="str">
        <f t="shared" si="0"/>
        <v>Brechsand, Splitt</v>
      </c>
      <c r="W28" s="3" t="str">
        <f>E28</f>
        <v>t</v>
      </c>
      <c r="X28" s="3"/>
      <c r="Y28" s="206"/>
      <c r="Z28" s="3"/>
      <c r="AA28" s="206"/>
      <c r="AB28" s="3"/>
      <c r="AC28" s="206"/>
      <c r="AD28" s="3"/>
      <c r="AE28" s="206"/>
      <c r="AF28" s="3"/>
      <c r="AG28" s="207" t="str">
        <f>'Default EF'!P26</f>
        <v>k.A.</v>
      </c>
      <c r="AH28" s="3"/>
      <c r="AI28" s="234"/>
      <c r="AJ28" s="3"/>
      <c r="AL28" s="206"/>
      <c r="AM28" s="206"/>
      <c r="AN28" s="3" t="str">
        <f t="shared" si="10"/>
        <v>Brechsand, Splitt</v>
      </c>
      <c r="AO28" s="3" t="str">
        <f t="shared" si="11"/>
        <v>t</v>
      </c>
      <c r="AP28" s="3"/>
      <c r="AQ28" s="206"/>
      <c r="AR28" s="3"/>
      <c r="AS28" s="206"/>
      <c r="AT28" s="3"/>
      <c r="AU28" s="206"/>
      <c r="AV28" s="3"/>
      <c r="AW28" s="206"/>
      <c r="AX28" s="3"/>
      <c r="AY28" s="207" t="str">
        <f>'Default EF'!Q26</f>
        <v>k.A.</v>
      </c>
      <c r="AZ28" s="3"/>
      <c r="BA28" s="234"/>
      <c r="BB28" s="3"/>
    </row>
    <row r="29" spans="2:54" ht="12.75" x14ac:dyDescent="0.2">
      <c r="B29" s="206"/>
      <c r="C29" s="206"/>
      <c r="D29" s="3" t="str">
        <f>'Referenz Pflasterwerk'!D44</f>
        <v>RC-Material (Sand, Splitt)</v>
      </c>
      <c r="E29" s="3" t="s">
        <v>49</v>
      </c>
      <c r="F29" s="3"/>
      <c r="G29" s="206"/>
      <c r="H29" s="3"/>
      <c r="I29" s="206"/>
      <c r="J29" s="3"/>
      <c r="K29" s="206"/>
      <c r="L29" s="3"/>
      <c r="M29" s="206"/>
      <c r="N29" s="3"/>
      <c r="O29" s="207" t="str">
        <f>'Default EF'!O27</f>
        <v>k.A.</v>
      </c>
      <c r="P29" s="3"/>
      <c r="Q29" s="234"/>
      <c r="R29" s="3"/>
      <c r="T29" s="206"/>
      <c r="U29" s="206"/>
      <c r="V29" s="3" t="str">
        <f t="shared" si="0"/>
        <v>RC-Material (Sand, Splitt)</v>
      </c>
      <c r="W29" s="3" t="str">
        <f>E29</f>
        <v>t</v>
      </c>
      <c r="X29" s="3"/>
      <c r="Y29" s="206"/>
      <c r="Z29" s="3"/>
      <c r="AA29" s="206"/>
      <c r="AB29" s="3"/>
      <c r="AC29" s="206"/>
      <c r="AD29" s="3"/>
      <c r="AE29" s="206"/>
      <c r="AF29" s="3"/>
      <c r="AG29" s="207" t="str">
        <f>'Default EF'!P27</f>
        <v>k.A.</v>
      </c>
      <c r="AH29" s="3"/>
      <c r="AI29" s="234"/>
      <c r="AJ29" s="3"/>
      <c r="AL29" s="206"/>
      <c r="AM29" s="206"/>
      <c r="AN29" s="3" t="str">
        <f t="shared" si="10"/>
        <v>RC-Material (Sand, Splitt)</v>
      </c>
      <c r="AO29" s="3" t="str">
        <f t="shared" si="11"/>
        <v>t</v>
      </c>
      <c r="AP29" s="3"/>
      <c r="AQ29" s="206"/>
      <c r="AR29" s="3"/>
      <c r="AS29" s="206"/>
      <c r="AT29" s="3"/>
      <c r="AU29" s="206"/>
      <c r="AV29" s="3"/>
      <c r="AW29" s="206"/>
      <c r="AX29" s="3"/>
      <c r="AY29" s="207" t="str">
        <f>'Default EF'!Q27</f>
        <v>k.A.</v>
      </c>
      <c r="AZ29" s="3"/>
      <c r="BA29" s="234"/>
      <c r="BB29" s="3"/>
    </row>
    <row r="30" spans="2:54" ht="12.75" x14ac:dyDescent="0.2">
      <c r="B30" s="206"/>
      <c r="C30" s="206"/>
      <c r="D30" s="3"/>
      <c r="E30" s="3"/>
      <c r="F30" s="3"/>
      <c r="G30" s="206"/>
      <c r="H30" s="3"/>
      <c r="I30" s="206"/>
      <c r="J30" s="3"/>
      <c r="K30" s="206"/>
      <c r="L30" s="3"/>
      <c r="M30" s="206"/>
      <c r="N30" s="3"/>
      <c r="O30" s="211"/>
      <c r="P30" s="3"/>
      <c r="Q30" s="211"/>
      <c r="R30" s="3"/>
      <c r="T30" s="206"/>
      <c r="U30" s="206"/>
      <c r="V30" s="3"/>
      <c r="W30" s="3"/>
      <c r="X30" s="3"/>
      <c r="Y30" s="206"/>
      <c r="Z30" s="3"/>
      <c r="AA30" s="206"/>
      <c r="AB30" s="3"/>
      <c r="AC30" s="206"/>
      <c r="AD30" s="3"/>
      <c r="AE30" s="206"/>
      <c r="AF30" s="3"/>
      <c r="AG30" s="211"/>
      <c r="AH30" s="3"/>
      <c r="AI30" s="211"/>
      <c r="AJ30" s="3"/>
      <c r="AL30" s="206"/>
      <c r="AM30" s="206"/>
      <c r="AN30" s="3"/>
      <c r="AO30" s="3"/>
      <c r="AP30" s="3"/>
      <c r="AQ30" s="206"/>
      <c r="AR30" s="3"/>
      <c r="AS30" s="206"/>
      <c r="AT30" s="3"/>
      <c r="AU30" s="206"/>
      <c r="AV30" s="3"/>
      <c r="AW30" s="206"/>
      <c r="AX30" s="3"/>
      <c r="AY30" s="211"/>
      <c r="AZ30" s="3"/>
      <c r="BA30" s="211"/>
      <c r="BB30" s="3"/>
    </row>
    <row r="31" spans="2:54" ht="12.75" x14ac:dyDescent="0.2">
      <c r="B31" s="206"/>
      <c r="C31" s="206"/>
      <c r="D31" s="3" t="str">
        <f>'Referenz Pflasterwerk'!D46</f>
        <v>Farben</v>
      </c>
      <c r="E31" s="3" t="s">
        <v>49</v>
      </c>
      <c r="F31" s="3"/>
      <c r="G31" s="206"/>
      <c r="H31" s="3"/>
      <c r="I31" s="206"/>
      <c r="J31" s="3"/>
      <c r="K31" s="206"/>
      <c r="L31" s="3"/>
      <c r="M31" s="206"/>
      <c r="N31" s="3"/>
      <c r="O31" s="206">
        <f>'Default EF'!O29</f>
        <v>2.5999999999999996</v>
      </c>
      <c r="P31" s="3"/>
      <c r="Q31" s="234"/>
      <c r="R31" s="3"/>
      <c r="T31" s="206"/>
      <c r="U31" s="206"/>
      <c r="V31" s="3" t="str">
        <f t="shared" si="0"/>
        <v>Farben</v>
      </c>
      <c r="W31" s="3" t="str">
        <f>E31</f>
        <v>t</v>
      </c>
      <c r="X31" s="3"/>
      <c r="Y31" s="206"/>
      <c r="Z31" s="3"/>
      <c r="AA31" s="206"/>
      <c r="AB31" s="3"/>
      <c r="AC31" s="206"/>
      <c r="AD31" s="3"/>
      <c r="AE31" s="206"/>
      <c r="AF31" s="3"/>
      <c r="AG31" s="207">
        <f>'Default EF'!P29</f>
        <v>2.5999999999999996</v>
      </c>
      <c r="AH31" s="3"/>
      <c r="AI31" s="234"/>
      <c r="AJ31" s="3"/>
      <c r="AL31" s="206"/>
      <c r="AM31" s="206"/>
      <c r="AN31" s="3" t="str">
        <f>V31</f>
        <v>Farben</v>
      </c>
      <c r="AO31" s="3" t="str">
        <f>W31</f>
        <v>t</v>
      </c>
      <c r="AP31" s="3"/>
      <c r="AQ31" s="206"/>
      <c r="AR31" s="3"/>
      <c r="AS31" s="206"/>
      <c r="AT31" s="3"/>
      <c r="AU31" s="206"/>
      <c r="AV31" s="3"/>
      <c r="AW31" s="206"/>
      <c r="AX31" s="3"/>
      <c r="AY31" s="207">
        <f>'Default EF'!Q29</f>
        <v>2.5999999999999996</v>
      </c>
      <c r="AZ31" s="3"/>
      <c r="BA31" s="234"/>
      <c r="BB31" s="3"/>
    </row>
    <row r="32" spans="2:54" ht="12.75" x14ac:dyDescent="0.2">
      <c r="B32" s="206"/>
      <c r="C32" s="206"/>
      <c r="D32" s="3"/>
      <c r="E32" s="3"/>
      <c r="F32" s="3"/>
      <c r="G32" s="206"/>
      <c r="H32" s="3"/>
      <c r="I32" s="206"/>
      <c r="J32" s="3"/>
      <c r="K32" s="206"/>
      <c r="L32" s="3"/>
      <c r="M32" s="206"/>
      <c r="N32" s="3"/>
      <c r="O32" s="211"/>
      <c r="P32" s="3"/>
      <c r="Q32" s="211"/>
      <c r="R32" s="3"/>
      <c r="T32" s="206"/>
      <c r="U32" s="206"/>
      <c r="V32" s="3"/>
      <c r="W32" s="3"/>
      <c r="X32" s="3"/>
      <c r="Y32" s="206"/>
      <c r="Z32" s="3"/>
      <c r="AA32" s="206"/>
      <c r="AB32" s="3"/>
      <c r="AC32" s="206"/>
      <c r="AD32" s="3"/>
      <c r="AE32" s="206"/>
      <c r="AF32" s="3"/>
      <c r="AG32" s="211"/>
      <c r="AH32" s="3"/>
      <c r="AI32" s="211"/>
      <c r="AJ32" s="3"/>
      <c r="AL32" s="206"/>
      <c r="AM32" s="206"/>
      <c r="AN32" s="3"/>
      <c r="AO32" s="3"/>
      <c r="AP32" s="3"/>
      <c r="AQ32" s="206"/>
      <c r="AR32" s="3"/>
      <c r="AS32" s="206"/>
      <c r="AT32" s="3"/>
      <c r="AU32" s="206"/>
      <c r="AV32" s="3"/>
      <c r="AW32" s="206"/>
      <c r="AX32" s="3"/>
      <c r="AY32" s="211"/>
      <c r="AZ32" s="3"/>
      <c r="BA32" s="211"/>
      <c r="BB32" s="3"/>
    </row>
    <row r="33" spans="2:54" ht="12.75" x14ac:dyDescent="0.2">
      <c r="B33" s="206"/>
      <c r="C33" s="8" t="str">
        <f>'Referenz Pflasterwerk'!D48</f>
        <v>Zusatzstoffe (Füllstoffe)</v>
      </c>
      <c r="D33" s="3"/>
      <c r="E33" s="3"/>
      <c r="F33" s="3"/>
      <c r="G33" s="206"/>
      <c r="H33" s="3"/>
      <c r="I33" s="206"/>
      <c r="J33" s="3"/>
      <c r="K33" s="206"/>
      <c r="L33" s="3"/>
      <c r="M33" s="206"/>
      <c r="N33" s="3"/>
      <c r="O33" s="211"/>
      <c r="P33" s="3"/>
      <c r="Q33" s="211"/>
      <c r="R33" s="3"/>
      <c r="T33" s="206"/>
      <c r="U33" s="209" t="str">
        <f>C33</f>
        <v>Zusatzstoffe (Füllstoffe)</v>
      </c>
      <c r="V33" s="3"/>
      <c r="W33" s="3"/>
      <c r="X33" s="3"/>
      <c r="Y33" s="206"/>
      <c r="Z33" s="3"/>
      <c r="AA33" s="206"/>
      <c r="AB33" s="3"/>
      <c r="AC33" s="206"/>
      <c r="AD33" s="3"/>
      <c r="AE33" s="206"/>
      <c r="AF33" s="3"/>
      <c r="AG33" s="211"/>
      <c r="AH33" s="3"/>
      <c r="AI33" s="211"/>
      <c r="AJ33" s="3"/>
      <c r="AL33" s="206"/>
      <c r="AM33" s="205" t="str">
        <f>U33</f>
        <v>Zusatzstoffe (Füllstoffe)</v>
      </c>
      <c r="AN33" s="3"/>
      <c r="AO33" s="3"/>
      <c r="AP33" s="3"/>
      <c r="AQ33" s="206"/>
      <c r="AR33" s="3"/>
      <c r="AS33" s="206"/>
      <c r="AT33" s="3"/>
      <c r="AU33" s="206"/>
      <c r="AV33" s="3"/>
      <c r="AW33" s="206"/>
      <c r="AX33" s="3"/>
      <c r="AY33" s="211"/>
      <c r="AZ33" s="3"/>
      <c r="BA33" s="211"/>
      <c r="BB33" s="3"/>
    </row>
    <row r="34" spans="2:54" ht="12.75" x14ac:dyDescent="0.2">
      <c r="B34" s="206"/>
      <c r="C34" s="206"/>
      <c r="D34" s="3" t="str">
        <f>'Referenz Pflasterwerk'!D49</f>
        <v>Flugasche</v>
      </c>
      <c r="E34" s="3" t="s">
        <v>49</v>
      </c>
      <c r="F34" s="3"/>
      <c r="G34" s="206"/>
      <c r="H34" s="3"/>
      <c r="I34" s="206"/>
      <c r="J34" s="3"/>
      <c r="K34" s="206"/>
      <c r="L34" s="3"/>
      <c r="M34" s="206"/>
      <c r="N34" s="3"/>
      <c r="O34" s="206">
        <f>'Default EF'!O32</f>
        <v>0.19800000000000001</v>
      </c>
      <c r="P34" s="3"/>
      <c r="Q34" s="234"/>
      <c r="R34" s="3"/>
      <c r="T34" s="206"/>
      <c r="U34" s="206"/>
      <c r="V34" s="3" t="str">
        <f t="shared" si="0"/>
        <v>Flugasche</v>
      </c>
      <c r="W34" s="3" t="str">
        <f t="shared" ref="W34:W36" si="12">E34</f>
        <v>t</v>
      </c>
      <c r="X34" s="3"/>
      <c r="Y34" s="206"/>
      <c r="Z34" s="3"/>
      <c r="AA34" s="206"/>
      <c r="AB34" s="3"/>
      <c r="AC34" s="206"/>
      <c r="AD34" s="3"/>
      <c r="AE34" s="206"/>
      <c r="AF34" s="3"/>
      <c r="AG34" s="207">
        <f>'Default EF'!P32</f>
        <v>0.19800000000000001</v>
      </c>
      <c r="AH34" s="3"/>
      <c r="AI34" s="234"/>
      <c r="AJ34" s="3"/>
      <c r="AL34" s="206"/>
      <c r="AM34" s="206"/>
      <c r="AN34" s="3" t="str">
        <f t="shared" ref="AN34:AN36" si="13">V34</f>
        <v>Flugasche</v>
      </c>
      <c r="AO34" s="3" t="str">
        <f t="shared" ref="AO34:AO36" si="14">W34</f>
        <v>t</v>
      </c>
      <c r="AP34" s="3"/>
      <c r="AQ34" s="206"/>
      <c r="AR34" s="3"/>
      <c r="AS34" s="206"/>
      <c r="AT34" s="3"/>
      <c r="AU34" s="206"/>
      <c r="AV34" s="3"/>
      <c r="AW34" s="206"/>
      <c r="AX34" s="3"/>
      <c r="AY34" s="207">
        <f>'Default EF'!Q32</f>
        <v>0.19800000000000001</v>
      </c>
      <c r="AZ34" s="3"/>
      <c r="BA34" s="234"/>
      <c r="BB34" s="3"/>
    </row>
    <row r="35" spans="2:54" ht="12.75" x14ac:dyDescent="0.2">
      <c r="B35" s="206"/>
      <c r="C35" s="206"/>
      <c r="D35" s="3" t="str">
        <f>'Referenz Pflasterwerk'!D50</f>
        <v>Quarzsteinmehl</v>
      </c>
      <c r="E35" s="3" t="s">
        <v>49</v>
      </c>
      <c r="F35" s="3"/>
      <c r="G35" s="206"/>
      <c r="H35" s="3"/>
      <c r="I35" s="206"/>
      <c r="J35" s="3"/>
      <c r="K35" s="206"/>
      <c r="L35" s="3"/>
      <c r="M35" s="206"/>
      <c r="N35" s="3"/>
      <c r="O35" s="206">
        <f>'Default EF'!O33</f>
        <v>4.342E-2</v>
      </c>
      <c r="P35" s="3"/>
      <c r="Q35" s="234"/>
      <c r="R35" s="3"/>
      <c r="T35" s="206"/>
      <c r="U35" s="206"/>
      <c r="V35" s="3" t="str">
        <f t="shared" si="0"/>
        <v>Quarzsteinmehl</v>
      </c>
      <c r="W35" s="3" t="str">
        <f t="shared" si="12"/>
        <v>t</v>
      </c>
      <c r="X35" s="3"/>
      <c r="Y35" s="206"/>
      <c r="Z35" s="3"/>
      <c r="AA35" s="206"/>
      <c r="AB35" s="3"/>
      <c r="AC35" s="206"/>
      <c r="AD35" s="3"/>
      <c r="AE35" s="206"/>
      <c r="AF35" s="3"/>
      <c r="AG35" s="207">
        <f>'Default EF'!P33</f>
        <v>4.342E-2</v>
      </c>
      <c r="AH35" s="3"/>
      <c r="AI35" s="234"/>
      <c r="AJ35" s="3"/>
      <c r="AL35" s="206"/>
      <c r="AM35" s="206"/>
      <c r="AN35" s="3" t="str">
        <f t="shared" si="13"/>
        <v>Quarzsteinmehl</v>
      </c>
      <c r="AO35" s="3" t="str">
        <f t="shared" si="14"/>
        <v>t</v>
      </c>
      <c r="AP35" s="3"/>
      <c r="AQ35" s="206"/>
      <c r="AR35" s="3"/>
      <c r="AS35" s="206"/>
      <c r="AT35" s="3"/>
      <c r="AU35" s="206"/>
      <c r="AV35" s="3"/>
      <c r="AW35" s="206"/>
      <c r="AX35" s="3"/>
      <c r="AY35" s="207">
        <f>'Default EF'!Q33</f>
        <v>4.342E-2</v>
      </c>
      <c r="AZ35" s="3"/>
      <c r="BA35" s="234"/>
      <c r="BB35" s="3"/>
    </row>
    <row r="36" spans="2:54" ht="12.75" x14ac:dyDescent="0.2">
      <c r="B36" s="206"/>
      <c r="C36" s="206"/>
      <c r="D36" s="3" t="str">
        <f>'Referenz Pflasterwerk'!D51</f>
        <v>Kalksteinmehl</v>
      </c>
      <c r="E36" s="3" t="s">
        <v>49</v>
      </c>
      <c r="F36" s="3"/>
      <c r="G36" s="206"/>
      <c r="H36" s="3"/>
      <c r="I36" s="206"/>
      <c r="J36" s="3"/>
      <c r="K36" s="206"/>
      <c r="L36" s="3"/>
      <c r="M36" s="206"/>
      <c r="N36" s="3"/>
      <c r="O36" s="206">
        <f>'Default EF'!O34</f>
        <v>4.5199999999999997E-2</v>
      </c>
      <c r="P36" s="3"/>
      <c r="Q36" s="234"/>
      <c r="R36" s="3"/>
      <c r="T36" s="206"/>
      <c r="U36" s="206"/>
      <c r="V36" s="3" t="str">
        <f t="shared" si="0"/>
        <v>Kalksteinmehl</v>
      </c>
      <c r="W36" s="3" t="str">
        <f t="shared" si="12"/>
        <v>t</v>
      </c>
      <c r="X36" s="3"/>
      <c r="Y36" s="206"/>
      <c r="Z36" s="3"/>
      <c r="AA36" s="206"/>
      <c r="AB36" s="3"/>
      <c r="AC36" s="206"/>
      <c r="AD36" s="3"/>
      <c r="AE36" s="206"/>
      <c r="AF36" s="3"/>
      <c r="AG36" s="207">
        <f>'Default EF'!P34</f>
        <v>4.5199999999999997E-2</v>
      </c>
      <c r="AH36" s="3"/>
      <c r="AI36" s="234"/>
      <c r="AJ36" s="3"/>
      <c r="AL36" s="206"/>
      <c r="AM36" s="206"/>
      <c r="AN36" s="3" t="str">
        <f t="shared" si="13"/>
        <v>Kalksteinmehl</v>
      </c>
      <c r="AO36" s="3" t="str">
        <f t="shared" si="14"/>
        <v>t</v>
      </c>
      <c r="AP36" s="3"/>
      <c r="AQ36" s="206"/>
      <c r="AR36" s="3"/>
      <c r="AS36" s="206"/>
      <c r="AT36" s="3"/>
      <c r="AU36" s="206"/>
      <c r="AV36" s="3"/>
      <c r="AW36" s="206"/>
      <c r="AX36" s="3"/>
      <c r="AY36" s="207">
        <f>'Default EF'!Q34</f>
        <v>4.5199999999999997E-2</v>
      </c>
      <c r="AZ36" s="3"/>
      <c r="BA36" s="234"/>
      <c r="BB36" s="3"/>
    </row>
    <row r="37" spans="2:54" ht="12.75" x14ac:dyDescent="0.2">
      <c r="B37" s="206"/>
      <c r="C37" s="206"/>
      <c r="D37" s="3"/>
      <c r="E37" s="3"/>
      <c r="F37" s="3"/>
      <c r="G37" s="206"/>
      <c r="H37" s="3"/>
      <c r="I37" s="206"/>
      <c r="J37" s="3"/>
      <c r="K37" s="206"/>
      <c r="L37" s="3"/>
      <c r="M37" s="206"/>
      <c r="N37" s="3"/>
      <c r="O37" s="211"/>
      <c r="P37" s="3"/>
      <c r="Q37" s="211"/>
      <c r="R37" s="3"/>
      <c r="T37" s="206"/>
      <c r="U37" s="206"/>
      <c r="V37" s="3"/>
      <c r="W37" s="3"/>
      <c r="X37" s="3"/>
      <c r="Y37" s="206"/>
      <c r="Z37" s="3"/>
      <c r="AA37" s="206"/>
      <c r="AB37" s="3"/>
      <c r="AC37" s="206"/>
      <c r="AD37" s="3"/>
      <c r="AE37" s="206"/>
      <c r="AF37" s="3"/>
      <c r="AG37" s="211"/>
      <c r="AH37" s="3"/>
      <c r="AI37" s="211"/>
      <c r="AJ37" s="3"/>
      <c r="AL37" s="206"/>
      <c r="AM37" s="206"/>
      <c r="AN37" s="3"/>
      <c r="AO37" s="3"/>
      <c r="AP37" s="3"/>
      <c r="AQ37" s="206"/>
      <c r="AR37" s="3"/>
      <c r="AS37" s="206"/>
      <c r="AT37" s="3"/>
      <c r="AU37" s="206"/>
      <c r="AV37" s="3"/>
      <c r="AW37" s="206"/>
      <c r="AX37" s="3"/>
      <c r="AY37" s="211"/>
      <c r="AZ37" s="3"/>
      <c r="BA37" s="211"/>
      <c r="BB37" s="3"/>
    </row>
    <row r="38" spans="2:54" ht="12.75" x14ac:dyDescent="0.2">
      <c r="B38" s="8"/>
      <c r="C38" s="8" t="str">
        <f>'Referenz Pflasterwerk'!D53</f>
        <v>Zusatzmittel</v>
      </c>
      <c r="D38" s="8"/>
      <c r="E38" s="3"/>
      <c r="F38" s="3"/>
      <c r="G38" s="206"/>
      <c r="H38" s="3"/>
      <c r="I38" s="206"/>
      <c r="J38" s="3"/>
      <c r="K38" s="206"/>
      <c r="L38" s="3"/>
      <c r="M38" s="206"/>
      <c r="N38" s="3"/>
      <c r="O38" s="212"/>
      <c r="P38" s="3"/>
      <c r="Q38" s="212"/>
      <c r="R38" s="3"/>
      <c r="T38" s="213"/>
      <c r="U38" s="8" t="s">
        <v>52</v>
      </c>
      <c r="V38" s="3"/>
      <c r="W38" s="3"/>
      <c r="X38" s="3"/>
      <c r="Y38" s="206"/>
      <c r="Z38" s="3"/>
      <c r="AA38" s="206"/>
      <c r="AB38" s="3"/>
      <c r="AC38" s="206"/>
      <c r="AD38" s="3"/>
      <c r="AE38" s="206"/>
      <c r="AF38" s="3"/>
      <c r="AG38" s="214"/>
      <c r="AH38" s="3"/>
      <c r="AI38" s="212"/>
      <c r="AJ38" s="3"/>
      <c r="AL38" s="213"/>
      <c r="AM38" s="8" t="s">
        <v>52</v>
      </c>
      <c r="AN38" s="8"/>
      <c r="AO38" s="3"/>
      <c r="AP38" s="3"/>
      <c r="AQ38" s="206"/>
      <c r="AR38" s="3"/>
      <c r="AS38" s="206"/>
      <c r="AT38" s="3"/>
      <c r="AU38" s="206"/>
      <c r="AV38" s="3"/>
      <c r="AW38" s="206"/>
      <c r="AX38" s="3"/>
      <c r="AY38" s="214"/>
      <c r="AZ38" s="3"/>
      <c r="BA38" s="212"/>
      <c r="BB38" s="3"/>
    </row>
    <row r="39" spans="2:54" s="216" customFormat="1" ht="12.75" x14ac:dyDescent="0.2">
      <c r="B39" s="215"/>
      <c r="C39" s="215"/>
      <c r="D39" s="3" t="str">
        <f>'Referenz Pflasterwerk'!D54</f>
        <v>Plastifizierer</v>
      </c>
      <c r="E39" s="63"/>
      <c r="F39" s="63"/>
      <c r="G39" s="215"/>
      <c r="H39" s="63"/>
      <c r="I39" s="215"/>
      <c r="J39" s="63"/>
      <c r="K39" s="215"/>
      <c r="L39" s="63"/>
      <c r="M39" s="215"/>
      <c r="N39" s="63"/>
      <c r="O39" s="63">
        <f>'Default EF'!O37</f>
        <v>1.53</v>
      </c>
      <c r="P39" s="63"/>
      <c r="Q39" s="235"/>
      <c r="R39" s="63"/>
      <c r="T39" s="215"/>
      <c r="U39" s="215"/>
      <c r="V39" s="3" t="str">
        <f t="shared" si="0"/>
        <v>Plastifizierer</v>
      </c>
      <c r="W39" s="63"/>
      <c r="X39" s="63"/>
      <c r="Y39" s="215"/>
      <c r="Z39" s="63"/>
      <c r="AA39" s="215"/>
      <c r="AB39" s="63"/>
      <c r="AC39" s="215"/>
      <c r="AD39" s="63"/>
      <c r="AE39" s="215"/>
      <c r="AF39" s="63"/>
      <c r="AG39" s="217">
        <f>'Default EF'!P37</f>
        <v>1.53</v>
      </c>
      <c r="AH39" s="63"/>
      <c r="AI39" s="235"/>
      <c r="AJ39" s="63"/>
      <c r="AL39" s="215"/>
      <c r="AM39" s="215"/>
      <c r="AN39" s="3" t="str">
        <f t="shared" ref="AN39:AN42" si="15">V39</f>
        <v>Plastifizierer</v>
      </c>
      <c r="AO39" s="3"/>
      <c r="AP39" s="63"/>
      <c r="AQ39" s="215"/>
      <c r="AR39" s="63"/>
      <c r="AS39" s="215"/>
      <c r="AT39" s="63"/>
      <c r="AU39" s="215"/>
      <c r="AV39" s="63"/>
      <c r="AW39" s="215"/>
      <c r="AX39" s="63"/>
      <c r="AY39" s="217">
        <f>'Default EF'!Q37</f>
        <v>1.53</v>
      </c>
      <c r="AZ39" s="63"/>
      <c r="BA39" s="235"/>
      <c r="BB39" s="63"/>
    </row>
    <row r="40" spans="2:54" s="216" customFormat="1" ht="12.75" x14ac:dyDescent="0.2">
      <c r="B40" s="215"/>
      <c r="C40" s="215"/>
      <c r="D40" s="3" t="str">
        <f>'Referenz Pflasterwerk'!D55</f>
        <v>Luftporenbildner</v>
      </c>
      <c r="E40" s="63"/>
      <c r="F40" s="63"/>
      <c r="G40" s="215"/>
      <c r="H40" s="63"/>
      <c r="I40" s="215"/>
      <c r="J40" s="63"/>
      <c r="K40" s="215"/>
      <c r="L40" s="63"/>
      <c r="M40" s="215"/>
      <c r="N40" s="63"/>
      <c r="O40" s="63">
        <f>'Default EF'!O38</f>
        <v>0.439</v>
      </c>
      <c r="P40" s="63"/>
      <c r="Q40" s="235"/>
      <c r="R40" s="63"/>
      <c r="T40" s="215"/>
      <c r="U40" s="215"/>
      <c r="V40" s="3" t="str">
        <f t="shared" si="0"/>
        <v>Luftporenbildner</v>
      </c>
      <c r="W40" s="63"/>
      <c r="X40" s="63"/>
      <c r="Y40" s="215"/>
      <c r="Z40" s="63"/>
      <c r="AA40" s="215"/>
      <c r="AB40" s="63"/>
      <c r="AC40" s="215"/>
      <c r="AD40" s="63"/>
      <c r="AE40" s="215"/>
      <c r="AF40" s="63"/>
      <c r="AG40" s="217">
        <f>'Default EF'!P38</f>
        <v>0.439</v>
      </c>
      <c r="AH40" s="63"/>
      <c r="AI40" s="235"/>
      <c r="AJ40" s="63"/>
      <c r="AL40" s="215"/>
      <c r="AM40" s="215"/>
      <c r="AN40" s="3" t="str">
        <f t="shared" si="15"/>
        <v>Luftporenbildner</v>
      </c>
      <c r="AO40" s="3"/>
      <c r="AP40" s="63"/>
      <c r="AQ40" s="215"/>
      <c r="AR40" s="63"/>
      <c r="AS40" s="215"/>
      <c r="AT40" s="63"/>
      <c r="AU40" s="215"/>
      <c r="AV40" s="63"/>
      <c r="AW40" s="215"/>
      <c r="AX40" s="63"/>
      <c r="AY40" s="217">
        <f>'Default EF'!Q38</f>
        <v>0.439</v>
      </c>
      <c r="AZ40" s="63"/>
      <c r="BA40" s="235"/>
      <c r="BB40" s="63"/>
    </row>
    <row r="41" spans="2:54" s="216" customFormat="1" ht="12.75" x14ac:dyDescent="0.2">
      <c r="B41" s="215"/>
      <c r="C41" s="215"/>
      <c r="D41" s="3" t="str">
        <f>'Referenz Pflasterwerk'!D56</f>
        <v>Stabilisierer</v>
      </c>
      <c r="E41" s="63"/>
      <c r="F41" s="63"/>
      <c r="G41" s="215"/>
      <c r="H41" s="63"/>
      <c r="I41" s="215"/>
      <c r="J41" s="63"/>
      <c r="K41" s="215"/>
      <c r="L41" s="63"/>
      <c r="M41" s="215"/>
      <c r="N41" s="63"/>
      <c r="O41" s="63">
        <f>'Default EF'!O39</f>
        <v>1.23</v>
      </c>
      <c r="P41" s="63"/>
      <c r="Q41" s="235"/>
      <c r="R41" s="63"/>
      <c r="T41" s="215"/>
      <c r="U41" s="215"/>
      <c r="V41" s="3" t="str">
        <f t="shared" si="0"/>
        <v>Stabilisierer</v>
      </c>
      <c r="W41" s="63"/>
      <c r="X41" s="63"/>
      <c r="Y41" s="215"/>
      <c r="Z41" s="63"/>
      <c r="AA41" s="215"/>
      <c r="AB41" s="63"/>
      <c r="AC41" s="215"/>
      <c r="AD41" s="63"/>
      <c r="AE41" s="215"/>
      <c r="AF41" s="63"/>
      <c r="AG41" s="217">
        <f>'Default EF'!P39</f>
        <v>1.23</v>
      </c>
      <c r="AH41" s="63"/>
      <c r="AI41" s="235"/>
      <c r="AJ41" s="63"/>
      <c r="AL41" s="215"/>
      <c r="AM41" s="215"/>
      <c r="AN41" s="3" t="str">
        <f t="shared" si="15"/>
        <v>Stabilisierer</v>
      </c>
      <c r="AO41" s="3"/>
      <c r="AP41" s="63"/>
      <c r="AQ41" s="215"/>
      <c r="AR41" s="63"/>
      <c r="AS41" s="215"/>
      <c r="AT41" s="63"/>
      <c r="AU41" s="215"/>
      <c r="AV41" s="63"/>
      <c r="AW41" s="215"/>
      <c r="AX41" s="63"/>
      <c r="AY41" s="217">
        <f>'Default EF'!Q39</f>
        <v>1.23</v>
      </c>
      <c r="AZ41" s="63"/>
      <c r="BA41" s="235"/>
      <c r="BB41" s="63"/>
    </row>
    <row r="42" spans="2:54" s="216" customFormat="1" ht="12.75" x14ac:dyDescent="0.2">
      <c r="B42" s="215"/>
      <c r="C42" s="215"/>
      <c r="D42" s="3" t="str">
        <f>'Referenz Pflasterwerk'!D57</f>
        <v>Hydrophobierer</v>
      </c>
      <c r="E42" s="63"/>
      <c r="F42" s="63"/>
      <c r="G42" s="215"/>
      <c r="H42" s="63"/>
      <c r="I42" s="215"/>
      <c r="J42" s="63"/>
      <c r="K42" s="215"/>
      <c r="L42" s="63"/>
      <c r="M42" s="215"/>
      <c r="N42" s="63"/>
      <c r="O42" s="63">
        <f>'Default EF'!O40</f>
        <v>2.67</v>
      </c>
      <c r="P42" s="63"/>
      <c r="Q42" s="235"/>
      <c r="R42" s="63"/>
      <c r="T42" s="215"/>
      <c r="U42" s="215"/>
      <c r="V42" s="3" t="str">
        <f t="shared" si="0"/>
        <v>Hydrophobierer</v>
      </c>
      <c r="W42" s="63"/>
      <c r="X42" s="63"/>
      <c r="Y42" s="215"/>
      <c r="Z42" s="63"/>
      <c r="AA42" s="215"/>
      <c r="AB42" s="63"/>
      <c r="AC42" s="215"/>
      <c r="AD42" s="63"/>
      <c r="AE42" s="215"/>
      <c r="AF42" s="63"/>
      <c r="AG42" s="217">
        <f>'Default EF'!P40</f>
        <v>2.67</v>
      </c>
      <c r="AH42" s="63"/>
      <c r="AI42" s="235"/>
      <c r="AJ42" s="63"/>
      <c r="AL42" s="215"/>
      <c r="AM42" s="215"/>
      <c r="AN42" s="3" t="str">
        <f t="shared" si="15"/>
        <v>Hydrophobierer</v>
      </c>
      <c r="AO42" s="3"/>
      <c r="AP42" s="63"/>
      <c r="AQ42" s="215"/>
      <c r="AR42" s="63"/>
      <c r="AS42" s="215"/>
      <c r="AT42" s="63"/>
      <c r="AU42" s="215"/>
      <c r="AV42" s="63"/>
      <c r="AW42" s="215"/>
      <c r="AX42" s="63"/>
      <c r="AY42" s="217">
        <f>'Default EF'!Q40</f>
        <v>2.67</v>
      </c>
      <c r="AZ42" s="63"/>
      <c r="BA42" s="235"/>
      <c r="BB42" s="63"/>
    </row>
    <row r="43" spans="2:54" ht="12.75" x14ac:dyDescent="0.2">
      <c r="B43" s="213"/>
      <c r="C43" s="213"/>
      <c r="D43" s="212"/>
      <c r="E43" s="212"/>
      <c r="F43" s="3"/>
      <c r="G43" s="213"/>
      <c r="H43" s="3"/>
      <c r="I43" s="213"/>
      <c r="J43" s="3"/>
      <c r="K43" s="213"/>
      <c r="L43" s="3"/>
      <c r="M43" s="213"/>
      <c r="N43" s="3"/>
      <c r="O43" s="212"/>
      <c r="P43" s="3"/>
      <c r="Q43" s="212"/>
      <c r="R43" s="3"/>
      <c r="T43" s="213"/>
      <c r="U43" s="213"/>
      <c r="V43" s="3"/>
      <c r="W43" s="212"/>
      <c r="X43" s="3"/>
      <c r="Y43" s="213"/>
      <c r="Z43" s="3"/>
      <c r="AA43" s="213"/>
      <c r="AB43" s="3"/>
      <c r="AC43" s="213"/>
      <c r="AD43" s="3"/>
      <c r="AE43" s="213"/>
      <c r="AF43" s="3"/>
      <c r="AG43" s="214"/>
      <c r="AH43" s="3"/>
      <c r="AI43" s="212"/>
      <c r="AJ43" s="3"/>
      <c r="AL43" s="213"/>
      <c r="AM43" s="213"/>
      <c r="AN43" s="212"/>
      <c r="AO43" s="212"/>
      <c r="AP43" s="3"/>
      <c r="AQ43" s="213"/>
      <c r="AR43" s="3"/>
      <c r="AS43" s="213"/>
      <c r="AT43" s="3"/>
      <c r="AU43" s="213"/>
      <c r="AV43" s="3"/>
      <c r="AW43" s="213"/>
      <c r="AX43" s="3"/>
      <c r="AY43" s="214"/>
      <c r="AZ43" s="3"/>
      <c r="BA43" s="212"/>
      <c r="BB43" s="3"/>
    </row>
    <row r="44" spans="2:54" x14ac:dyDescent="0.2">
      <c r="B44" s="206"/>
      <c r="C44" s="206"/>
      <c r="D44" s="3" t="s">
        <v>448</v>
      </c>
      <c r="E44" s="3" t="s">
        <v>49</v>
      </c>
      <c r="F44" s="3"/>
      <c r="G44" s="206"/>
      <c r="H44" s="3"/>
      <c r="I44" s="206"/>
      <c r="J44" s="3"/>
      <c r="K44" s="206"/>
      <c r="L44" s="3"/>
      <c r="M44" s="206"/>
      <c r="N44" s="3"/>
      <c r="O44" s="207">
        <f>'Default EF'!O42</f>
        <v>0</v>
      </c>
      <c r="P44" s="3"/>
      <c r="Q44" s="234"/>
      <c r="R44" s="3"/>
      <c r="T44" s="206"/>
      <c r="U44" s="206"/>
      <c r="V44" s="3" t="s">
        <v>113</v>
      </c>
      <c r="W44" s="3" t="str">
        <f t="shared" ref="W44:W45" si="16">E44</f>
        <v>t</v>
      </c>
      <c r="X44" s="3"/>
      <c r="Y44" s="206"/>
      <c r="Z44" s="3"/>
      <c r="AA44" s="206"/>
      <c r="AB44" s="3"/>
      <c r="AC44" s="206"/>
      <c r="AD44" s="3"/>
      <c r="AE44" s="206"/>
      <c r="AF44" s="3"/>
      <c r="AG44" s="207">
        <f>'Default EF'!P42</f>
        <v>0</v>
      </c>
      <c r="AH44" s="3"/>
      <c r="AI44" s="234"/>
      <c r="AJ44" s="3"/>
      <c r="AL44" s="206"/>
      <c r="AM44" s="206"/>
      <c r="AN44" s="3" t="str">
        <f t="shared" ref="AN44:AN45" si="17">V44</f>
        <v>Wasser</v>
      </c>
      <c r="AO44" s="3" t="str">
        <f t="shared" ref="AO44:AO45" si="18">W44</f>
        <v>t</v>
      </c>
      <c r="AP44" s="3"/>
      <c r="AQ44" s="206"/>
      <c r="AR44" s="3"/>
      <c r="AS44" s="206"/>
      <c r="AT44" s="3"/>
      <c r="AU44" s="206"/>
      <c r="AV44" s="3"/>
      <c r="AW44" s="206"/>
      <c r="AX44" s="3"/>
      <c r="AY44" s="207">
        <f>'Default EF'!Q42</f>
        <v>0</v>
      </c>
      <c r="AZ44" s="3"/>
      <c r="BA44" s="234"/>
      <c r="BB44" s="3"/>
    </row>
    <row r="45" spans="2:54" ht="12.75" x14ac:dyDescent="0.2">
      <c r="B45" s="206"/>
      <c r="C45" s="206"/>
      <c r="D45" s="3" t="str">
        <f>'Referenz Pflasterwerk'!D60</f>
        <v>Abwasser</v>
      </c>
      <c r="E45" s="3" t="s">
        <v>66</v>
      </c>
      <c r="F45" s="3"/>
      <c r="G45" s="206"/>
      <c r="H45" s="3"/>
      <c r="I45" s="206"/>
      <c r="J45" s="3"/>
      <c r="K45" s="206"/>
      <c r="L45" s="3"/>
      <c r="M45" s="206"/>
      <c r="N45" s="3"/>
      <c r="O45" s="206">
        <f>'Default EF'!O43</f>
        <v>2.72E-4</v>
      </c>
      <c r="P45" s="3"/>
      <c r="Q45" s="234"/>
      <c r="R45" s="3"/>
      <c r="T45" s="206"/>
      <c r="U45" s="206"/>
      <c r="V45" s="3" t="str">
        <f t="shared" si="0"/>
        <v>Abwasser</v>
      </c>
      <c r="W45" s="3" t="str">
        <f t="shared" si="16"/>
        <v>cbm</v>
      </c>
      <c r="X45" s="3"/>
      <c r="Y45" s="206"/>
      <c r="Z45" s="3"/>
      <c r="AA45" s="206"/>
      <c r="AB45" s="3"/>
      <c r="AC45" s="206"/>
      <c r="AD45" s="3"/>
      <c r="AE45" s="206"/>
      <c r="AF45" s="3"/>
      <c r="AG45" s="207">
        <f>'Default EF'!P43</f>
        <v>2.72E-4</v>
      </c>
      <c r="AH45" s="3"/>
      <c r="AI45" s="234"/>
      <c r="AJ45" s="3"/>
      <c r="AL45" s="206"/>
      <c r="AM45" s="206"/>
      <c r="AN45" s="3" t="str">
        <f t="shared" si="17"/>
        <v>Abwasser</v>
      </c>
      <c r="AO45" s="3" t="str">
        <f t="shared" si="18"/>
        <v>cbm</v>
      </c>
      <c r="AP45" s="3"/>
      <c r="AQ45" s="206"/>
      <c r="AR45" s="3"/>
      <c r="AS45" s="206"/>
      <c r="AT45" s="3"/>
      <c r="AU45" s="206"/>
      <c r="AV45" s="3"/>
      <c r="AW45" s="206"/>
      <c r="AX45" s="3"/>
      <c r="AY45" s="207">
        <f>'Default EF'!Q43</f>
        <v>2.72E-4</v>
      </c>
      <c r="AZ45" s="3"/>
      <c r="BA45" s="234"/>
      <c r="BB45" s="3"/>
    </row>
    <row r="46" spans="2:54" ht="12.75" x14ac:dyDescent="0.2">
      <c r="B46" s="8"/>
      <c r="C46" s="8"/>
      <c r="D46" s="3"/>
      <c r="E46" s="3"/>
      <c r="F46" s="3"/>
      <c r="G46" s="206"/>
      <c r="H46" s="3"/>
      <c r="I46" s="206"/>
      <c r="J46" s="3"/>
      <c r="K46" s="206"/>
      <c r="L46" s="3"/>
      <c r="M46" s="206"/>
      <c r="N46" s="3"/>
      <c r="O46" s="206"/>
      <c r="P46" s="3"/>
      <c r="Q46" s="3"/>
      <c r="R46" s="3"/>
      <c r="T46" s="206"/>
      <c r="U46" s="8"/>
      <c r="V46" s="3"/>
      <c r="W46" s="3"/>
      <c r="X46" s="3"/>
      <c r="Y46" s="206"/>
      <c r="Z46" s="3"/>
      <c r="AA46" s="206"/>
      <c r="AB46" s="3"/>
      <c r="AC46" s="206"/>
      <c r="AD46" s="3"/>
      <c r="AE46" s="206"/>
      <c r="AF46" s="3"/>
      <c r="AG46" s="207"/>
      <c r="AH46" s="3"/>
      <c r="AI46" s="3"/>
      <c r="AJ46" s="3"/>
      <c r="AL46" s="206"/>
      <c r="AM46" s="8"/>
      <c r="AN46" s="3"/>
      <c r="AO46" s="3"/>
      <c r="AP46" s="3"/>
      <c r="AQ46" s="206"/>
      <c r="AR46" s="3"/>
      <c r="AS46" s="206"/>
      <c r="AT46" s="3"/>
      <c r="AU46" s="206"/>
      <c r="AV46" s="3"/>
      <c r="AW46" s="206"/>
      <c r="AX46" s="3"/>
      <c r="AY46" s="207"/>
      <c r="AZ46" s="3"/>
      <c r="BA46" s="3"/>
      <c r="BB46" s="3"/>
    </row>
    <row r="47" spans="2:54" ht="12.75" x14ac:dyDescent="0.2">
      <c r="B47" s="8"/>
      <c r="C47" s="8" t="str">
        <f>'Referenz Pflasterwerk'!D62</f>
        <v>Oberflächenschutzsysteme</v>
      </c>
      <c r="D47" s="3"/>
      <c r="E47" s="3"/>
      <c r="F47" s="3"/>
      <c r="G47" s="206"/>
      <c r="H47" s="3"/>
      <c r="I47" s="206"/>
      <c r="J47" s="3"/>
      <c r="K47" s="206"/>
      <c r="L47" s="3"/>
      <c r="M47" s="206"/>
      <c r="N47" s="3"/>
      <c r="O47" s="206"/>
      <c r="P47" s="3"/>
      <c r="Q47" s="3"/>
      <c r="R47" s="3"/>
      <c r="T47" s="206"/>
      <c r="U47" s="209" t="str">
        <f>C47</f>
        <v>Oberflächenschutzsysteme</v>
      </c>
      <c r="V47" s="3"/>
      <c r="W47" s="3"/>
      <c r="X47" s="3"/>
      <c r="Y47" s="206"/>
      <c r="Z47" s="3"/>
      <c r="AA47" s="206"/>
      <c r="AB47" s="3"/>
      <c r="AC47" s="206"/>
      <c r="AD47" s="3"/>
      <c r="AE47" s="206"/>
      <c r="AF47" s="3"/>
      <c r="AG47" s="207"/>
      <c r="AH47" s="3"/>
      <c r="AI47" s="3"/>
      <c r="AJ47" s="3"/>
      <c r="AL47" s="206"/>
      <c r="AM47" s="205" t="str">
        <f>U47</f>
        <v>Oberflächenschutzsysteme</v>
      </c>
      <c r="AN47" s="3"/>
      <c r="AO47" s="3"/>
      <c r="AP47" s="3"/>
      <c r="AQ47" s="206"/>
      <c r="AR47" s="3"/>
      <c r="AS47" s="206"/>
      <c r="AT47" s="3"/>
      <c r="AU47" s="206"/>
      <c r="AV47" s="3"/>
      <c r="AW47" s="206"/>
      <c r="AX47" s="3"/>
      <c r="AY47" s="207"/>
      <c r="AZ47" s="3"/>
      <c r="BA47" s="3"/>
      <c r="BB47" s="3"/>
    </row>
    <row r="48" spans="2:54" ht="12.75" x14ac:dyDescent="0.2">
      <c r="B48" s="8"/>
      <c r="C48" s="8"/>
      <c r="D48" s="3" t="str">
        <f>'Referenz Pflasterwerk'!D63</f>
        <v>Hydrophobierung</v>
      </c>
      <c r="E48" s="3" t="s">
        <v>49</v>
      </c>
      <c r="F48" s="3"/>
      <c r="G48" s="206"/>
      <c r="H48" s="3"/>
      <c r="I48" s="206"/>
      <c r="J48" s="3"/>
      <c r="K48" s="206"/>
      <c r="L48" s="3"/>
      <c r="M48" s="206"/>
      <c r="N48" s="3"/>
      <c r="O48" s="207" t="str">
        <f>'Default EF'!O46</f>
        <v>k.A.</v>
      </c>
      <c r="P48" s="3"/>
      <c r="Q48" s="234"/>
      <c r="R48" s="3"/>
      <c r="T48" s="206"/>
      <c r="U48" s="8"/>
      <c r="V48" s="3" t="str">
        <f t="shared" si="0"/>
        <v>Hydrophobierung</v>
      </c>
      <c r="W48" s="3" t="str">
        <f t="shared" ref="W48:W49" si="19">E48</f>
        <v>t</v>
      </c>
      <c r="X48" s="3"/>
      <c r="Y48" s="206"/>
      <c r="Z48" s="3"/>
      <c r="AA48" s="206"/>
      <c r="AB48" s="3"/>
      <c r="AC48" s="206"/>
      <c r="AD48" s="3"/>
      <c r="AE48" s="206"/>
      <c r="AF48" s="3"/>
      <c r="AG48" s="207" t="str">
        <f>'Default EF'!P46</f>
        <v>k.A.</v>
      </c>
      <c r="AH48" s="3"/>
      <c r="AI48" s="234"/>
      <c r="AJ48" s="3"/>
      <c r="AL48" s="206"/>
      <c r="AM48" s="8"/>
      <c r="AN48" s="3" t="str">
        <f t="shared" ref="AN48:AN50" si="20">V48</f>
        <v>Hydrophobierung</v>
      </c>
      <c r="AO48" s="3" t="str">
        <f t="shared" ref="AO48:AO50" si="21">W48</f>
        <v>t</v>
      </c>
      <c r="AP48" s="3"/>
      <c r="AQ48" s="206"/>
      <c r="AR48" s="3"/>
      <c r="AS48" s="206"/>
      <c r="AT48" s="3"/>
      <c r="AU48" s="206"/>
      <c r="AV48" s="3"/>
      <c r="AW48" s="206"/>
      <c r="AX48" s="3"/>
      <c r="AY48" s="207" t="str">
        <f>'Default EF'!Q46</f>
        <v>k.A.</v>
      </c>
      <c r="AZ48" s="3"/>
      <c r="BA48" s="234"/>
      <c r="BB48" s="3"/>
    </row>
    <row r="49" spans="2:54" ht="12.75" x14ac:dyDescent="0.2">
      <c r="B49" s="206"/>
      <c r="C49" s="206"/>
      <c r="D49" s="3" t="str">
        <f>'Referenz Pflasterwerk'!D64</f>
        <v>Imprägniermittel  (Aushärtung über Infrarot)</v>
      </c>
      <c r="E49" s="3" t="s">
        <v>49</v>
      </c>
      <c r="F49" s="3"/>
      <c r="G49" s="206"/>
      <c r="H49" s="3"/>
      <c r="I49" s="206"/>
      <c r="J49" s="3"/>
      <c r="K49" s="206"/>
      <c r="L49" s="3"/>
      <c r="M49" s="206"/>
      <c r="N49" s="3"/>
      <c r="O49" s="206">
        <f>'Default EF'!O47</f>
        <v>2.012</v>
      </c>
      <c r="P49" s="3"/>
      <c r="Q49" s="234"/>
      <c r="R49" s="3"/>
      <c r="T49" s="206"/>
      <c r="U49" s="206"/>
      <c r="V49" s="3" t="str">
        <f t="shared" si="0"/>
        <v>Imprägniermittel  (Aushärtung über Infrarot)</v>
      </c>
      <c r="W49" s="3" t="str">
        <f t="shared" si="19"/>
        <v>t</v>
      </c>
      <c r="X49" s="3"/>
      <c r="Y49" s="206"/>
      <c r="Z49" s="3"/>
      <c r="AA49" s="206"/>
      <c r="AB49" s="3"/>
      <c r="AC49" s="206"/>
      <c r="AD49" s="3"/>
      <c r="AE49" s="206"/>
      <c r="AF49" s="3"/>
      <c r="AG49" s="207">
        <f>'Default EF'!P47</f>
        <v>2.012</v>
      </c>
      <c r="AH49" s="3"/>
      <c r="AI49" s="234"/>
      <c r="AJ49" s="3"/>
      <c r="AL49" s="206"/>
      <c r="AM49" s="206"/>
      <c r="AN49" s="3" t="str">
        <f t="shared" si="20"/>
        <v>Imprägniermittel  (Aushärtung über Infrarot)</v>
      </c>
      <c r="AO49" s="3" t="str">
        <f t="shared" si="21"/>
        <v>t</v>
      </c>
      <c r="AP49" s="3"/>
      <c r="AQ49" s="206"/>
      <c r="AR49" s="3"/>
      <c r="AS49" s="206"/>
      <c r="AT49" s="3"/>
      <c r="AU49" s="206"/>
      <c r="AV49" s="3"/>
      <c r="AW49" s="206"/>
      <c r="AX49" s="3"/>
      <c r="AY49" s="207">
        <f>'Default EF'!Q47</f>
        <v>2.012</v>
      </c>
      <c r="AZ49" s="3"/>
      <c r="BA49" s="234"/>
      <c r="BB49" s="3"/>
    </row>
    <row r="50" spans="2:54" ht="12.75" x14ac:dyDescent="0.2">
      <c r="B50" s="8"/>
      <c r="C50" s="8"/>
      <c r="D50" s="3" t="str">
        <f>'Referenz Pflasterwerk'!D65</f>
        <v>Beschichtung</v>
      </c>
      <c r="E50" s="3" t="s">
        <v>49</v>
      </c>
      <c r="F50" s="3"/>
      <c r="G50" s="206"/>
      <c r="H50" s="3"/>
      <c r="I50" s="206"/>
      <c r="J50" s="3"/>
      <c r="K50" s="206"/>
      <c r="L50" s="3"/>
      <c r="M50" s="206"/>
      <c r="N50" s="3"/>
      <c r="O50" s="207" t="str">
        <f>'Default EF'!O48</f>
        <v>k.A.</v>
      </c>
      <c r="P50" s="3"/>
      <c r="Q50" s="234"/>
      <c r="R50" s="3"/>
      <c r="T50" s="206"/>
      <c r="U50" s="8"/>
      <c r="V50" s="3" t="str">
        <f t="shared" si="0"/>
        <v>Beschichtung</v>
      </c>
      <c r="W50" s="3" t="str">
        <f>E50</f>
        <v>t</v>
      </c>
      <c r="X50" s="3"/>
      <c r="Y50" s="206"/>
      <c r="Z50" s="3"/>
      <c r="AA50" s="206"/>
      <c r="AB50" s="3"/>
      <c r="AC50" s="206"/>
      <c r="AD50" s="3"/>
      <c r="AE50" s="206"/>
      <c r="AF50" s="3"/>
      <c r="AG50" s="207" t="str">
        <f>'Default EF'!P48</f>
        <v>k.A.</v>
      </c>
      <c r="AH50" s="3"/>
      <c r="AI50" s="234"/>
      <c r="AJ50" s="3"/>
      <c r="AL50" s="206"/>
      <c r="AM50" s="8"/>
      <c r="AN50" s="3" t="str">
        <f t="shared" si="20"/>
        <v>Beschichtung</v>
      </c>
      <c r="AO50" s="3" t="str">
        <f t="shared" si="21"/>
        <v>t</v>
      </c>
      <c r="AP50" s="3"/>
      <c r="AQ50" s="206"/>
      <c r="AR50" s="3"/>
      <c r="AS50" s="206"/>
      <c r="AT50" s="3"/>
      <c r="AU50" s="206"/>
      <c r="AV50" s="3"/>
      <c r="AW50" s="206"/>
      <c r="AX50" s="3"/>
      <c r="AY50" s="207" t="str">
        <f>'Default EF'!Q48</f>
        <v>k.A.</v>
      </c>
      <c r="AZ50" s="3"/>
      <c r="BA50" s="234"/>
      <c r="BB50" s="3"/>
    </row>
    <row r="51" spans="2:54" ht="12.75" x14ac:dyDescent="0.2">
      <c r="B51" s="8"/>
      <c r="C51" s="8"/>
      <c r="D51" s="3"/>
      <c r="E51" s="3"/>
      <c r="F51" s="3"/>
      <c r="G51" s="206"/>
      <c r="H51" s="3"/>
      <c r="I51" s="206"/>
      <c r="J51" s="3"/>
      <c r="K51" s="206"/>
      <c r="L51" s="3"/>
      <c r="M51" s="206"/>
      <c r="N51" s="3"/>
      <c r="O51" s="206"/>
      <c r="P51" s="3"/>
      <c r="Q51" s="3"/>
      <c r="R51" s="3"/>
      <c r="T51" s="206"/>
      <c r="U51" s="8"/>
      <c r="V51" s="3"/>
      <c r="W51" s="3"/>
      <c r="X51" s="3"/>
      <c r="Y51" s="206"/>
      <c r="Z51" s="3"/>
      <c r="AA51" s="206"/>
      <c r="AB51" s="3"/>
      <c r="AC51" s="206"/>
      <c r="AD51" s="3"/>
      <c r="AE51" s="206"/>
      <c r="AF51" s="3"/>
      <c r="AG51" s="207"/>
      <c r="AH51" s="3"/>
      <c r="AI51" s="3"/>
      <c r="AJ51" s="3"/>
      <c r="AL51" s="206"/>
      <c r="AM51" s="8"/>
      <c r="AN51" s="3"/>
      <c r="AO51" s="3"/>
      <c r="AP51" s="3"/>
      <c r="AQ51" s="206"/>
      <c r="AR51" s="3"/>
      <c r="AS51" s="206"/>
      <c r="AT51" s="3"/>
      <c r="AU51" s="206"/>
      <c r="AV51" s="3"/>
      <c r="AW51" s="206"/>
      <c r="AX51" s="3"/>
      <c r="AY51" s="207"/>
      <c r="AZ51" s="3"/>
      <c r="BA51" s="3"/>
      <c r="BB51" s="3"/>
    </row>
    <row r="52" spans="2:54" ht="12.75" x14ac:dyDescent="0.2">
      <c r="B52" s="8"/>
      <c r="C52" s="8" t="str">
        <f>'Referenz Pflasterwerk'!D67</f>
        <v>Oberflächenbearbeitung (vor/nach Erhärtung)</v>
      </c>
      <c r="D52" s="3"/>
      <c r="E52" s="3"/>
      <c r="F52" s="3"/>
      <c r="G52" s="206"/>
      <c r="H52" s="3"/>
      <c r="I52" s="206"/>
      <c r="J52" s="3"/>
      <c r="K52" s="206"/>
      <c r="L52" s="3"/>
      <c r="M52" s="206"/>
      <c r="N52" s="3"/>
      <c r="O52" s="206"/>
      <c r="P52" s="3"/>
      <c r="Q52" s="3"/>
      <c r="R52" s="3"/>
      <c r="T52" s="206"/>
      <c r="U52" s="209" t="str">
        <f>C52</f>
        <v>Oberflächenbearbeitung (vor/nach Erhärtung)</v>
      </c>
      <c r="V52" s="3"/>
      <c r="W52" s="3"/>
      <c r="X52" s="3"/>
      <c r="Y52" s="206"/>
      <c r="Z52" s="3"/>
      <c r="AA52" s="206"/>
      <c r="AB52" s="3"/>
      <c r="AC52" s="206"/>
      <c r="AD52" s="3"/>
      <c r="AE52" s="206"/>
      <c r="AF52" s="3"/>
      <c r="AG52" s="207"/>
      <c r="AH52" s="3"/>
      <c r="AI52" s="3"/>
      <c r="AJ52" s="3"/>
      <c r="AL52" s="206"/>
      <c r="AM52" s="205" t="str">
        <f>U52</f>
        <v>Oberflächenbearbeitung (vor/nach Erhärtung)</v>
      </c>
      <c r="AN52" s="3"/>
      <c r="AO52" s="3"/>
      <c r="AP52" s="3"/>
      <c r="AQ52" s="206"/>
      <c r="AR52" s="3"/>
      <c r="AS52" s="206"/>
      <c r="AT52" s="3"/>
      <c r="AU52" s="206"/>
      <c r="AV52" s="3"/>
      <c r="AW52" s="206"/>
      <c r="AX52" s="3"/>
      <c r="AY52" s="207"/>
      <c r="AZ52" s="3"/>
      <c r="BA52" s="3"/>
      <c r="BB52" s="3"/>
    </row>
    <row r="53" spans="2:54" ht="12.75" x14ac:dyDescent="0.2">
      <c r="B53" s="206"/>
      <c r="C53" s="206"/>
      <c r="D53" s="3" t="str">
        <f>'Referenz Pflasterwerk'!D68</f>
        <v>Stahlkugeln (Strahlanlage)</v>
      </c>
      <c r="E53" s="3" t="s">
        <v>49</v>
      </c>
      <c r="F53" s="3"/>
      <c r="G53" s="206"/>
      <c r="H53" s="3"/>
      <c r="I53" s="206"/>
      <c r="J53" s="3"/>
      <c r="K53" s="206"/>
      <c r="L53" s="3"/>
      <c r="M53" s="206"/>
      <c r="N53" s="3"/>
      <c r="O53" s="206">
        <f>'Default EF'!O51</f>
        <v>1.5</v>
      </c>
      <c r="P53" s="3"/>
      <c r="Q53" s="234"/>
      <c r="R53" s="3"/>
      <c r="T53" s="206"/>
      <c r="U53" s="206"/>
      <c r="V53" s="3" t="str">
        <f t="shared" si="0"/>
        <v>Stahlkugeln (Strahlanlage)</v>
      </c>
      <c r="W53" s="3" t="str">
        <f t="shared" ref="W53:W57" si="22">E53</f>
        <v>t</v>
      </c>
      <c r="X53" s="3"/>
      <c r="Y53" s="206"/>
      <c r="Z53" s="3"/>
      <c r="AA53" s="206"/>
      <c r="AB53" s="3"/>
      <c r="AC53" s="206"/>
      <c r="AD53" s="3"/>
      <c r="AE53" s="206"/>
      <c r="AF53" s="3"/>
      <c r="AG53" s="207">
        <f>'Default EF'!P51</f>
        <v>1.5</v>
      </c>
      <c r="AH53" s="3"/>
      <c r="AI53" s="234"/>
      <c r="AJ53" s="3"/>
      <c r="AL53" s="206"/>
      <c r="AM53" s="206"/>
      <c r="AN53" s="3" t="str">
        <f t="shared" ref="AN53:AN55" si="23">V53</f>
        <v>Stahlkugeln (Strahlanlage)</v>
      </c>
      <c r="AO53" s="3" t="str">
        <f t="shared" ref="AO53:AO55" si="24">W53</f>
        <v>t</v>
      </c>
      <c r="AP53" s="3"/>
      <c r="AQ53" s="206"/>
      <c r="AR53" s="3"/>
      <c r="AS53" s="206"/>
      <c r="AT53" s="3"/>
      <c r="AU53" s="206"/>
      <c r="AV53" s="3"/>
      <c r="AW53" s="206"/>
      <c r="AX53" s="3"/>
      <c r="AY53" s="207">
        <f>'Default EF'!Q51</f>
        <v>1.5</v>
      </c>
      <c r="AZ53" s="3"/>
      <c r="BA53" s="234"/>
      <c r="BB53" s="3"/>
    </row>
    <row r="54" spans="2:54" ht="12.75" x14ac:dyDescent="0.2">
      <c r="B54" s="206"/>
      <c r="C54" s="206"/>
      <c r="D54" s="3" t="str">
        <f>'Referenz Pflasterwerk'!D69</f>
        <v>Weitere Materialen</v>
      </c>
      <c r="E54" s="3" t="s">
        <v>49</v>
      </c>
      <c r="F54" s="3"/>
      <c r="G54" s="206"/>
      <c r="H54" s="3"/>
      <c r="I54" s="206"/>
      <c r="J54" s="3"/>
      <c r="K54" s="206"/>
      <c r="L54" s="3"/>
      <c r="M54" s="206"/>
      <c r="N54" s="3"/>
      <c r="O54" s="207" t="str">
        <f>'Default EF'!O52</f>
        <v>k.A.</v>
      </c>
      <c r="P54" s="3"/>
      <c r="Q54" s="234"/>
      <c r="R54" s="3"/>
      <c r="T54" s="206"/>
      <c r="U54" s="206"/>
      <c r="V54" s="3" t="str">
        <f t="shared" si="0"/>
        <v>Weitere Materialen</v>
      </c>
      <c r="W54" s="3" t="str">
        <f t="shared" si="22"/>
        <v>t</v>
      </c>
      <c r="X54" s="3"/>
      <c r="Y54" s="206"/>
      <c r="Z54" s="3"/>
      <c r="AA54" s="206"/>
      <c r="AB54" s="3"/>
      <c r="AC54" s="206"/>
      <c r="AD54" s="3"/>
      <c r="AE54" s="206"/>
      <c r="AF54" s="3"/>
      <c r="AG54" s="207" t="str">
        <f>'Default EF'!P52</f>
        <v>k.A.</v>
      </c>
      <c r="AH54" s="3"/>
      <c r="AI54" s="234"/>
      <c r="AJ54" s="3"/>
      <c r="AL54" s="206"/>
      <c r="AM54" s="206"/>
      <c r="AN54" s="3" t="str">
        <f t="shared" si="23"/>
        <v>Weitere Materialen</v>
      </c>
      <c r="AO54" s="3" t="str">
        <f t="shared" si="24"/>
        <v>t</v>
      </c>
      <c r="AP54" s="3"/>
      <c r="AQ54" s="206"/>
      <c r="AR54" s="3"/>
      <c r="AS54" s="206"/>
      <c r="AT54" s="3"/>
      <c r="AU54" s="206"/>
      <c r="AV54" s="3"/>
      <c r="AW54" s="206"/>
      <c r="AX54" s="3"/>
      <c r="AY54" s="207" t="str">
        <f>'Default EF'!Q52</f>
        <v>k.A.</v>
      </c>
      <c r="AZ54" s="3"/>
      <c r="BA54" s="234"/>
      <c r="BB54" s="3"/>
    </row>
    <row r="55" spans="2:54" ht="12.75" x14ac:dyDescent="0.2">
      <c r="B55" s="206"/>
      <c r="C55" s="206"/>
      <c r="D55" s="3" t="str">
        <f>'Referenz Pflasterwerk'!D70</f>
        <v>Oberflächenbearbeitungsarten</v>
      </c>
      <c r="E55" s="3" t="s">
        <v>49</v>
      </c>
      <c r="F55" s="3"/>
      <c r="G55" s="206"/>
      <c r="H55" s="3"/>
      <c r="I55" s="206"/>
      <c r="J55" s="3"/>
      <c r="K55" s="206"/>
      <c r="L55" s="3"/>
      <c r="M55" s="206"/>
      <c r="N55" s="3"/>
      <c r="O55" s="207" t="str">
        <f>'Default EF'!O53</f>
        <v>k.A.</v>
      </c>
      <c r="P55" s="3"/>
      <c r="Q55" s="234"/>
      <c r="R55" s="3"/>
      <c r="T55" s="206"/>
      <c r="U55" s="206"/>
      <c r="V55" s="3" t="str">
        <f t="shared" si="0"/>
        <v>Oberflächenbearbeitungsarten</v>
      </c>
      <c r="W55" s="3" t="str">
        <f t="shared" si="22"/>
        <v>t</v>
      </c>
      <c r="X55" s="3"/>
      <c r="Y55" s="206"/>
      <c r="Z55" s="3"/>
      <c r="AA55" s="206"/>
      <c r="AB55" s="3"/>
      <c r="AC55" s="206"/>
      <c r="AD55" s="3"/>
      <c r="AE55" s="206"/>
      <c r="AF55" s="3"/>
      <c r="AG55" s="207" t="str">
        <f>'Default EF'!P53</f>
        <v>k.A.</v>
      </c>
      <c r="AH55" s="3"/>
      <c r="AI55" s="234"/>
      <c r="AJ55" s="3"/>
      <c r="AL55" s="206"/>
      <c r="AM55" s="206"/>
      <c r="AN55" s="3" t="str">
        <f t="shared" si="23"/>
        <v>Oberflächenbearbeitungsarten</v>
      </c>
      <c r="AO55" s="3" t="str">
        <f t="shared" si="24"/>
        <v>t</v>
      </c>
      <c r="AP55" s="3"/>
      <c r="AQ55" s="206"/>
      <c r="AR55" s="3"/>
      <c r="AS55" s="206"/>
      <c r="AT55" s="3"/>
      <c r="AU55" s="206"/>
      <c r="AV55" s="3"/>
      <c r="AW55" s="206"/>
      <c r="AX55" s="3"/>
      <c r="AY55" s="207" t="str">
        <f>'Default EF'!Q53</f>
        <v>k.A.</v>
      </c>
      <c r="AZ55" s="3"/>
      <c r="BA55" s="234"/>
      <c r="BB55" s="3"/>
    </row>
    <row r="56" spans="2:54" ht="12.75" x14ac:dyDescent="0.2">
      <c r="B56" s="206"/>
      <c r="C56" s="206"/>
      <c r="D56" s="3"/>
      <c r="E56" s="3"/>
      <c r="F56" s="3"/>
      <c r="G56" s="206"/>
      <c r="H56" s="3"/>
      <c r="I56" s="206"/>
      <c r="J56" s="3"/>
      <c r="K56" s="206"/>
      <c r="L56" s="3"/>
      <c r="M56" s="206"/>
      <c r="N56" s="3"/>
      <c r="O56" s="206"/>
      <c r="P56" s="206"/>
      <c r="Q56" s="206"/>
      <c r="R56" s="206"/>
      <c r="T56" s="206"/>
      <c r="U56" s="206"/>
      <c r="V56" s="3"/>
      <c r="W56" s="3"/>
      <c r="X56" s="3"/>
      <c r="Y56" s="206"/>
      <c r="Z56" s="3"/>
      <c r="AA56" s="206"/>
      <c r="AB56" s="3"/>
      <c r="AC56" s="206"/>
      <c r="AD56" s="3"/>
      <c r="AE56" s="206"/>
      <c r="AF56" s="3"/>
      <c r="AG56" s="207"/>
      <c r="AH56" s="3"/>
      <c r="AI56" s="206"/>
      <c r="AJ56" s="3"/>
      <c r="AL56" s="206"/>
      <c r="AM56" s="206"/>
      <c r="AN56" s="3"/>
      <c r="AO56" s="3"/>
      <c r="AP56" s="3"/>
      <c r="AQ56" s="206"/>
      <c r="AR56" s="3"/>
      <c r="AS56" s="206"/>
      <c r="AT56" s="3"/>
      <c r="AU56" s="206"/>
      <c r="AV56" s="3"/>
      <c r="AW56" s="206"/>
      <c r="AX56" s="3"/>
      <c r="AY56" s="207"/>
      <c r="AZ56" s="3"/>
      <c r="BA56" s="206"/>
      <c r="BB56" s="3"/>
    </row>
    <row r="57" spans="2:54" ht="12.75" x14ac:dyDescent="0.2">
      <c r="B57" s="206"/>
      <c r="C57" s="206"/>
      <c r="D57" s="3" t="str">
        <f>'Referenz Pflasterwerk'!D72</f>
        <v>Verpackungsmaterial</v>
      </c>
      <c r="E57" s="3" t="s">
        <v>49</v>
      </c>
      <c r="F57" s="3"/>
      <c r="G57" s="206"/>
      <c r="H57" s="3"/>
      <c r="I57" s="206"/>
      <c r="J57" s="3"/>
      <c r="K57" s="206"/>
      <c r="L57" s="3"/>
      <c r="M57" s="206"/>
      <c r="N57" s="3"/>
      <c r="O57" s="206">
        <f>'Default EF'!O55</f>
        <v>0.80600000000000005</v>
      </c>
      <c r="P57" s="3"/>
      <c r="Q57" s="234"/>
      <c r="R57" s="3"/>
      <c r="T57" s="206"/>
      <c r="U57" s="206"/>
      <c r="V57" s="3" t="str">
        <f t="shared" si="0"/>
        <v>Verpackungsmaterial</v>
      </c>
      <c r="W57" s="3" t="str">
        <f t="shared" si="22"/>
        <v>t</v>
      </c>
      <c r="X57" s="3"/>
      <c r="Y57" s="206"/>
      <c r="Z57" s="3"/>
      <c r="AA57" s="206"/>
      <c r="AB57" s="3"/>
      <c r="AC57" s="206"/>
      <c r="AD57" s="3"/>
      <c r="AE57" s="206"/>
      <c r="AF57" s="3"/>
      <c r="AG57" s="207">
        <f>'Default EF'!P55</f>
        <v>0.80600000000000005</v>
      </c>
      <c r="AH57" s="3"/>
      <c r="AI57" s="234"/>
      <c r="AJ57" s="3"/>
      <c r="AL57" s="206"/>
      <c r="AM57" s="206"/>
      <c r="AN57" s="3" t="str">
        <f>V57</f>
        <v>Verpackungsmaterial</v>
      </c>
      <c r="AO57" s="3" t="str">
        <f>W57</f>
        <v>t</v>
      </c>
      <c r="AP57" s="3"/>
      <c r="AQ57" s="206"/>
      <c r="AR57" s="3"/>
      <c r="AS57" s="206"/>
      <c r="AT57" s="3"/>
      <c r="AU57" s="206"/>
      <c r="AV57" s="3"/>
      <c r="AW57" s="206"/>
      <c r="AX57" s="3"/>
      <c r="AY57" s="207">
        <f>'Default EF'!Q55</f>
        <v>0.80600000000000005</v>
      </c>
      <c r="AZ57" s="3"/>
      <c r="BA57" s="234"/>
      <c r="BB57" s="3"/>
    </row>
    <row r="58" spans="2:54" ht="12.75" x14ac:dyDescent="0.2">
      <c r="B58" s="206"/>
      <c r="C58" s="206"/>
      <c r="D58" s="206"/>
      <c r="E58" s="206"/>
      <c r="F58" s="206"/>
      <c r="G58" s="206"/>
      <c r="H58" s="206"/>
      <c r="I58" s="206"/>
      <c r="J58" s="206"/>
      <c r="K58" s="206"/>
      <c r="L58" s="206"/>
      <c r="M58" s="206"/>
      <c r="N58" s="206"/>
      <c r="O58" s="206"/>
      <c r="P58" s="206"/>
      <c r="Q58" s="206"/>
      <c r="R58" s="3"/>
      <c r="T58" s="206"/>
      <c r="U58" s="206"/>
      <c r="V58" s="206"/>
      <c r="W58" s="206"/>
      <c r="X58" s="206"/>
      <c r="Y58" s="206"/>
      <c r="Z58" s="206"/>
      <c r="AA58" s="206"/>
      <c r="AB58" s="206"/>
      <c r="AC58" s="206"/>
      <c r="AD58" s="206"/>
      <c r="AE58" s="206"/>
      <c r="AF58" s="206"/>
      <c r="AG58" s="207"/>
      <c r="AH58" s="206"/>
      <c r="AI58" s="206"/>
      <c r="AJ58" s="3"/>
      <c r="AL58" s="206"/>
      <c r="AM58" s="206"/>
      <c r="AN58" s="206"/>
      <c r="AO58" s="206"/>
      <c r="AP58" s="206"/>
      <c r="AQ58" s="206"/>
      <c r="AR58" s="206"/>
      <c r="AS58" s="206"/>
      <c r="AT58" s="206"/>
      <c r="AU58" s="206"/>
      <c r="AV58" s="206"/>
      <c r="AW58" s="206"/>
      <c r="AX58" s="206"/>
      <c r="AY58" s="207"/>
      <c r="AZ58" s="206"/>
      <c r="BA58" s="206"/>
      <c r="BB58" s="206"/>
    </row>
    <row r="59" spans="2:54" x14ac:dyDescent="0.2">
      <c r="B59" s="206"/>
      <c r="C59" s="206"/>
      <c r="D59" s="206"/>
      <c r="E59" s="206"/>
      <c r="F59" s="206"/>
      <c r="G59" s="206"/>
      <c r="H59" s="206"/>
      <c r="I59" s="206"/>
      <c r="J59" s="206"/>
      <c r="K59" s="206"/>
      <c r="L59" s="206"/>
      <c r="M59" s="206"/>
      <c r="N59" s="206"/>
      <c r="O59" s="206"/>
      <c r="P59" s="206"/>
      <c r="Q59" s="206"/>
      <c r="R59" s="3"/>
      <c r="T59" s="7"/>
      <c r="U59" s="209" t="s">
        <v>105</v>
      </c>
      <c r="V59" s="7"/>
      <c r="W59" s="7"/>
      <c r="X59" s="7"/>
      <c r="Y59" s="7"/>
      <c r="Z59" s="7"/>
      <c r="AA59" s="7"/>
      <c r="AB59" s="7"/>
      <c r="AC59" s="7"/>
      <c r="AD59" s="7"/>
      <c r="AE59" s="7"/>
      <c r="AF59" s="7"/>
      <c r="AG59" s="218"/>
      <c r="AH59" s="7"/>
      <c r="AI59" s="7"/>
      <c r="AJ59" s="7"/>
      <c r="AL59" s="7"/>
      <c r="AM59" s="205" t="str">
        <f>U59</f>
        <v>Grünstrom</v>
      </c>
      <c r="AN59" s="7"/>
      <c r="AO59" s="7"/>
      <c r="AP59" s="7"/>
      <c r="AQ59" s="7"/>
      <c r="AR59" s="7"/>
      <c r="AS59" s="7"/>
      <c r="AT59" s="7"/>
      <c r="AU59" s="7"/>
      <c r="AV59" s="7"/>
      <c r="AW59" s="7"/>
      <c r="AX59" s="7"/>
      <c r="AY59" s="218"/>
      <c r="AZ59" s="7"/>
      <c r="BA59" s="7"/>
      <c r="BB59" s="7"/>
    </row>
    <row r="60" spans="2:54" x14ac:dyDescent="0.2">
      <c r="B60" s="219"/>
      <c r="C60" s="219"/>
      <c r="D60" s="219"/>
      <c r="E60" s="219"/>
      <c r="F60" s="219"/>
      <c r="G60" s="219"/>
      <c r="H60" s="219"/>
      <c r="I60" s="219"/>
      <c r="J60" s="219"/>
      <c r="K60" s="219"/>
      <c r="L60" s="219"/>
      <c r="M60" s="219"/>
      <c r="N60" s="219"/>
      <c r="O60" s="219"/>
      <c r="P60" s="219"/>
      <c r="Q60" s="219"/>
      <c r="R60" s="34"/>
      <c r="T60" s="7"/>
      <c r="U60" s="7"/>
      <c r="V60" s="3" t="s">
        <v>242</v>
      </c>
      <c r="W60" s="7"/>
      <c r="X60" s="7"/>
      <c r="Y60" s="7"/>
      <c r="Z60" s="7"/>
      <c r="AA60" s="7"/>
      <c r="AB60" s="7"/>
      <c r="AC60" s="206">
        <f>'Default EF'!L58</f>
        <v>0</v>
      </c>
      <c r="AD60" s="3"/>
      <c r="AE60" s="234"/>
      <c r="AF60" s="3"/>
      <c r="AG60" s="207">
        <f>'Default EF'!P58</f>
        <v>4.0790000000000001E-5</v>
      </c>
      <c r="AH60" s="3"/>
      <c r="AI60" s="234"/>
      <c r="AJ60" s="7"/>
      <c r="AL60" s="7"/>
      <c r="AM60" s="7"/>
      <c r="AN60" s="3" t="str">
        <f t="shared" ref="AN60:AN63" si="25">V60</f>
        <v>Grünstrommix</v>
      </c>
      <c r="AO60" s="7"/>
      <c r="AP60" s="7"/>
      <c r="AQ60" s="7"/>
      <c r="AR60" s="7"/>
      <c r="AS60" s="7"/>
      <c r="AT60" s="7"/>
      <c r="AU60" s="206">
        <f>'Default EF'!M58</f>
        <v>0</v>
      </c>
      <c r="AV60" s="3"/>
      <c r="AW60" s="234"/>
      <c r="AX60" s="3"/>
      <c r="AY60" s="207">
        <f>'Default EF'!Q58</f>
        <v>4.0790000000000001E-5</v>
      </c>
      <c r="AZ60" s="3"/>
      <c r="BA60" s="234"/>
      <c r="BB60" s="7"/>
    </row>
    <row r="61" spans="2:54" x14ac:dyDescent="0.2">
      <c r="B61" s="7"/>
      <c r="C61" s="7"/>
      <c r="D61" s="3" t="s">
        <v>450</v>
      </c>
      <c r="E61" s="7"/>
      <c r="F61" s="7"/>
      <c r="G61" s="7"/>
      <c r="H61" s="7"/>
      <c r="I61" s="7"/>
      <c r="J61" s="7"/>
      <c r="K61" s="7"/>
      <c r="L61" s="7"/>
      <c r="M61" s="7"/>
      <c r="N61" s="7"/>
      <c r="O61" s="7"/>
      <c r="P61" s="7"/>
      <c r="Q61" s="7"/>
      <c r="R61" s="7"/>
      <c r="T61" s="7"/>
      <c r="U61" s="7"/>
      <c r="V61" s="3" t="s">
        <v>111</v>
      </c>
      <c r="W61" s="7"/>
      <c r="X61" s="7"/>
      <c r="Y61" s="7"/>
      <c r="Z61" s="7"/>
      <c r="AA61" s="7"/>
      <c r="AB61" s="7"/>
      <c r="AC61" s="206">
        <f>'Default EF'!L59</f>
        <v>0</v>
      </c>
      <c r="AD61" s="3"/>
      <c r="AE61" s="234"/>
      <c r="AF61" s="3"/>
      <c r="AG61" s="207">
        <f>'Default EF'!P59</f>
        <v>5.5713999999999995E-5</v>
      </c>
      <c r="AH61" s="3"/>
      <c r="AI61" s="234"/>
      <c r="AJ61" s="7"/>
      <c r="AL61" s="7"/>
      <c r="AM61" s="7"/>
      <c r="AN61" s="3" t="str">
        <f t="shared" si="25"/>
        <v>PV</v>
      </c>
      <c r="AO61" s="7"/>
      <c r="AP61" s="7"/>
      <c r="AQ61" s="7"/>
      <c r="AR61" s="7"/>
      <c r="AS61" s="7"/>
      <c r="AT61" s="7"/>
      <c r="AU61" s="206">
        <f>'Default EF'!M59</f>
        <v>0</v>
      </c>
      <c r="AV61" s="3"/>
      <c r="AW61" s="234"/>
      <c r="AX61" s="3"/>
      <c r="AY61" s="207">
        <f>'Default EF'!Q59</f>
        <v>5.5713999999999995E-5</v>
      </c>
      <c r="AZ61" s="3"/>
      <c r="BA61" s="234"/>
      <c r="BB61" s="7"/>
    </row>
    <row r="62" spans="2:54" x14ac:dyDescent="0.2">
      <c r="B62" s="7"/>
      <c r="C62" s="7"/>
      <c r="D62" s="3" t="s">
        <v>418</v>
      </c>
      <c r="E62" s="7"/>
      <c r="F62" s="7"/>
      <c r="G62" s="7"/>
      <c r="H62" s="7"/>
      <c r="I62" s="7"/>
      <c r="J62" s="7"/>
      <c r="K62" s="7"/>
      <c r="L62" s="7"/>
      <c r="M62" s="7"/>
      <c r="N62" s="7"/>
      <c r="O62" s="7"/>
      <c r="P62" s="7"/>
      <c r="Q62" s="7"/>
      <c r="R62" s="7"/>
      <c r="T62" s="7"/>
      <c r="U62" s="7"/>
      <c r="V62" s="3" t="s">
        <v>112</v>
      </c>
      <c r="W62" s="7"/>
      <c r="X62" s="7"/>
      <c r="Y62" s="7"/>
      <c r="Z62" s="7"/>
      <c r="AA62" s="7"/>
      <c r="AB62" s="7"/>
      <c r="AC62" s="206">
        <f>'Default EF'!L60</f>
        <v>0</v>
      </c>
      <c r="AD62" s="3"/>
      <c r="AE62" s="234"/>
      <c r="AF62" s="3"/>
      <c r="AG62" s="207">
        <f>'Default EF'!P60</f>
        <v>1.5335600000000003E-5</v>
      </c>
      <c r="AH62" s="3"/>
      <c r="AI62" s="234"/>
      <c r="AJ62" s="7"/>
      <c r="AL62" s="7"/>
      <c r="AM62" s="7"/>
      <c r="AN62" s="3" t="str">
        <f t="shared" si="25"/>
        <v>Wind</v>
      </c>
      <c r="AO62" s="7"/>
      <c r="AP62" s="7"/>
      <c r="AQ62" s="7"/>
      <c r="AR62" s="7"/>
      <c r="AS62" s="7"/>
      <c r="AT62" s="7"/>
      <c r="AU62" s="206">
        <f>'Default EF'!M60</f>
        <v>0</v>
      </c>
      <c r="AV62" s="3"/>
      <c r="AW62" s="234"/>
      <c r="AX62" s="3"/>
      <c r="AY62" s="207">
        <f>'Default EF'!Q60</f>
        <v>1.5335600000000003E-5</v>
      </c>
      <c r="AZ62" s="3"/>
      <c r="BA62" s="234"/>
      <c r="BB62" s="7"/>
    </row>
    <row r="63" spans="2:54" x14ac:dyDescent="0.2">
      <c r="B63" s="7"/>
      <c r="C63" s="7"/>
      <c r="D63" s="7"/>
      <c r="E63" s="7"/>
      <c r="F63" s="7"/>
      <c r="G63" s="7"/>
      <c r="H63" s="7"/>
      <c r="I63" s="7"/>
      <c r="J63" s="7"/>
      <c r="K63" s="7"/>
      <c r="L63" s="7"/>
      <c r="M63" s="7"/>
      <c r="N63" s="7"/>
      <c r="O63" s="7"/>
      <c r="P63" s="7"/>
      <c r="Q63" s="7"/>
      <c r="R63" s="7"/>
      <c r="T63" s="7"/>
      <c r="U63" s="7"/>
      <c r="V63" s="3" t="s">
        <v>113</v>
      </c>
      <c r="W63" s="7"/>
      <c r="X63" s="7"/>
      <c r="Y63" s="7"/>
      <c r="Z63" s="7"/>
      <c r="AA63" s="7"/>
      <c r="AB63" s="7"/>
      <c r="AC63" s="206">
        <f>'Default EF'!L61</f>
        <v>0</v>
      </c>
      <c r="AD63" s="3"/>
      <c r="AE63" s="234"/>
      <c r="AF63" s="3"/>
      <c r="AG63" s="207">
        <f>'Default EF'!P61</f>
        <v>2.65E-6</v>
      </c>
      <c r="AH63" s="3"/>
      <c r="AI63" s="234"/>
      <c r="AJ63" s="7"/>
      <c r="AL63" s="7"/>
      <c r="AM63" s="7"/>
      <c r="AN63" s="3" t="str">
        <f t="shared" si="25"/>
        <v>Wasser</v>
      </c>
      <c r="AO63" s="7"/>
      <c r="AP63" s="7"/>
      <c r="AQ63" s="7"/>
      <c r="AR63" s="7"/>
      <c r="AS63" s="7"/>
      <c r="AT63" s="7"/>
      <c r="AU63" s="206">
        <f>'Default EF'!M61</f>
        <v>0</v>
      </c>
      <c r="AV63" s="3"/>
      <c r="AW63" s="234"/>
      <c r="AX63" s="3"/>
      <c r="AY63" s="207">
        <f>'Default EF'!Q61</f>
        <v>2.65E-6</v>
      </c>
      <c r="AZ63" s="3"/>
      <c r="BA63" s="234"/>
      <c r="BB63" s="7"/>
    </row>
    <row r="64" spans="2:54" x14ac:dyDescent="0.2">
      <c r="T64" s="7"/>
      <c r="U64" s="7"/>
      <c r="V64" s="7"/>
      <c r="W64" s="7"/>
      <c r="X64" s="7"/>
      <c r="Y64" s="7"/>
      <c r="Z64" s="7"/>
      <c r="AA64" s="7"/>
      <c r="AB64" s="7"/>
      <c r="AC64" s="7"/>
      <c r="AD64" s="7"/>
      <c r="AE64" s="7"/>
      <c r="AF64" s="7"/>
      <c r="AG64" s="7"/>
      <c r="AH64" s="7"/>
      <c r="AI64" s="7"/>
      <c r="AJ64" s="7"/>
      <c r="AL64" s="7"/>
      <c r="AM64" s="7"/>
      <c r="AN64" s="7"/>
      <c r="AO64" s="7"/>
      <c r="AP64" s="7"/>
      <c r="AQ64" s="7"/>
      <c r="AR64" s="7"/>
      <c r="AS64" s="7"/>
      <c r="AT64" s="7"/>
      <c r="AU64" s="7"/>
      <c r="AV64" s="7"/>
      <c r="AW64" s="7"/>
      <c r="AX64" s="7"/>
      <c r="AY64" s="7"/>
      <c r="AZ64" s="7"/>
      <c r="BA64" s="7"/>
      <c r="BB64" s="7"/>
    </row>
    <row r="65" spans="20:54" x14ac:dyDescent="0.2">
      <c r="T65" s="7"/>
      <c r="U65" s="7"/>
      <c r="V65" s="7"/>
      <c r="W65" s="7"/>
      <c r="X65" s="7"/>
      <c r="Y65" s="7"/>
      <c r="Z65" s="7"/>
      <c r="AA65" s="7"/>
      <c r="AB65" s="7"/>
      <c r="AC65" s="7"/>
      <c r="AD65" s="7"/>
      <c r="AE65" s="7"/>
      <c r="AF65" s="7"/>
      <c r="AG65" s="7"/>
      <c r="AH65" s="7"/>
      <c r="AI65" s="7"/>
      <c r="AJ65" s="7"/>
      <c r="AL65" s="7"/>
      <c r="AM65" s="7"/>
      <c r="AN65" s="7"/>
      <c r="AO65" s="7"/>
      <c r="AP65" s="7"/>
      <c r="AQ65" s="7"/>
      <c r="AR65" s="7"/>
      <c r="AS65" s="7"/>
      <c r="AT65" s="7"/>
      <c r="AU65" s="7"/>
      <c r="AV65" s="7"/>
      <c r="AW65" s="7"/>
      <c r="AX65" s="7"/>
      <c r="AY65" s="7"/>
      <c r="AZ65" s="7"/>
      <c r="BA65" s="7"/>
      <c r="BB65" s="7"/>
    </row>
    <row r="99" spans="2:18" ht="15" x14ac:dyDescent="0.25">
      <c r="B99" s="220"/>
      <c r="C99" s="220"/>
      <c r="D99" s="221"/>
      <c r="E99" s="221"/>
      <c r="F99" s="222"/>
      <c r="H99" s="222"/>
      <c r="I99" s="220"/>
      <c r="J99" s="222"/>
      <c r="K99" s="222"/>
      <c r="L99" s="222"/>
      <c r="M99" s="222"/>
      <c r="N99" s="222"/>
      <c r="O99" s="220"/>
      <c r="P99" s="222"/>
      <c r="Q99" s="220"/>
      <c r="R99" s="222"/>
    </row>
    <row r="100" spans="2:18" x14ac:dyDescent="0.2">
      <c r="B100" s="223"/>
      <c r="C100" s="223"/>
      <c r="E100" s="224"/>
      <c r="F100" s="223"/>
      <c r="G100" s="223"/>
      <c r="H100" s="223"/>
      <c r="I100" s="223"/>
      <c r="J100" s="223"/>
      <c r="K100" s="223"/>
      <c r="L100" s="223"/>
      <c r="M100" s="223"/>
      <c r="N100" s="223"/>
      <c r="O100" s="223"/>
      <c r="P100" s="223"/>
      <c r="Q100" s="223"/>
      <c r="R100" s="223"/>
    </row>
    <row r="139" spans="2:54" x14ac:dyDescent="0.2">
      <c r="B139" s="225"/>
      <c r="C139" s="225"/>
      <c r="F139" s="225"/>
      <c r="G139" s="225"/>
      <c r="H139" s="225"/>
      <c r="I139" s="225"/>
      <c r="J139" s="225"/>
      <c r="K139" s="225"/>
      <c r="L139" s="225"/>
      <c r="M139" s="225"/>
      <c r="N139" s="225"/>
      <c r="O139" s="225"/>
      <c r="P139" s="225"/>
      <c r="Q139" s="225"/>
      <c r="R139" s="225"/>
      <c r="T139" s="225"/>
      <c r="U139" s="225"/>
      <c r="X139" s="225"/>
      <c r="Y139" s="225"/>
      <c r="Z139" s="225"/>
      <c r="AA139" s="225"/>
      <c r="AB139" s="225"/>
      <c r="AC139" s="225"/>
      <c r="AD139" s="225"/>
      <c r="AE139" s="225"/>
      <c r="AF139" s="225"/>
      <c r="AG139" s="225"/>
      <c r="AH139" s="225"/>
      <c r="AI139" s="225"/>
      <c r="AJ139" s="225"/>
      <c r="AL139" s="225"/>
      <c r="AM139" s="225"/>
      <c r="AP139" s="225"/>
      <c r="AQ139" s="225"/>
      <c r="AR139" s="225"/>
      <c r="AS139" s="225"/>
      <c r="AT139" s="225"/>
      <c r="AU139" s="225"/>
      <c r="AV139" s="225"/>
      <c r="AW139" s="225"/>
      <c r="AX139" s="225"/>
      <c r="AY139" s="225"/>
      <c r="AZ139" s="225"/>
      <c r="BA139" s="225"/>
      <c r="BB139" s="225"/>
    </row>
    <row r="140" spans="2:54" x14ac:dyDescent="0.2">
      <c r="B140" s="225"/>
      <c r="C140" s="225"/>
      <c r="F140" s="226"/>
      <c r="G140" s="225"/>
      <c r="H140" s="226"/>
      <c r="I140" s="225"/>
      <c r="J140" s="226"/>
      <c r="K140" s="226"/>
      <c r="L140" s="226"/>
      <c r="M140" s="226"/>
      <c r="N140" s="226"/>
      <c r="O140" s="227"/>
      <c r="P140" s="226"/>
      <c r="Q140" s="227"/>
      <c r="R140" s="226"/>
      <c r="T140" s="225"/>
      <c r="U140" s="225"/>
      <c r="X140" s="226"/>
      <c r="Y140" s="225"/>
      <c r="Z140" s="226"/>
      <c r="AA140" s="225"/>
      <c r="AB140" s="226"/>
      <c r="AC140" s="226"/>
      <c r="AD140" s="226"/>
      <c r="AE140" s="226"/>
      <c r="AF140" s="226"/>
      <c r="AG140" s="227"/>
      <c r="AH140" s="226"/>
      <c r="AI140" s="227"/>
      <c r="AJ140" s="226"/>
      <c r="AL140" s="225"/>
      <c r="AM140" s="225"/>
      <c r="AP140" s="226"/>
      <c r="AQ140" s="225"/>
      <c r="AR140" s="226"/>
      <c r="AS140" s="225"/>
      <c r="AT140" s="226"/>
      <c r="AU140" s="226"/>
      <c r="AV140" s="226"/>
      <c r="AW140" s="226"/>
      <c r="AX140" s="226"/>
      <c r="AY140" s="227"/>
      <c r="AZ140" s="226"/>
      <c r="BA140" s="227"/>
      <c r="BB140" s="226"/>
    </row>
    <row r="141" spans="2:54" x14ac:dyDescent="0.2">
      <c r="B141" s="228"/>
      <c r="C141" s="228"/>
      <c r="D141" s="229"/>
      <c r="E141" s="229"/>
      <c r="F141" s="230"/>
      <c r="G141" s="228"/>
      <c r="H141" s="230"/>
      <c r="I141" s="228"/>
      <c r="J141" s="230"/>
      <c r="K141" s="230"/>
      <c r="L141" s="230"/>
      <c r="M141" s="230"/>
      <c r="N141" s="230"/>
      <c r="O141" s="228"/>
      <c r="P141" s="230"/>
      <c r="Q141" s="228"/>
      <c r="R141" s="230"/>
      <c r="T141" s="228"/>
      <c r="U141" s="228"/>
      <c r="V141" s="229"/>
      <c r="W141" s="229"/>
      <c r="X141" s="230"/>
      <c r="Y141" s="228"/>
      <c r="Z141" s="230"/>
      <c r="AA141" s="228"/>
      <c r="AB141" s="230"/>
      <c r="AC141" s="230"/>
      <c r="AD141" s="230"/>
      <c r="AE141" s="230"/>
      <c r="AF141" s="230"/>
      <c r="AG141" s="228"/>
      <c r="AH141" s="230"/>
      <c r="AI141" s="228"/>
      <c r="AJ141" s="230"/>
      <c r="AL141" s="228"/>
      <c r="AM141" s="228"/>
      <c r="AN141" s="229"/>
      <c r="AO141" s="229"/>
      <c r="AP141" s="230"/>
      <c r="AQ141" s="228"/>
      <c r="AR141" s="230"/>
      <c r="AS141" s="228"/>
      <c r="AT141" s="230"/>
      <c r="AU141" s="230"/>
      <c r="AV141" s="230"/>
      <c r="AW141" s="230"/>
      <c r="AX141" s="230"/>
      <c r="AY141" s="228"/>
      <c r="AZ141" s="230"/>
      <c r="BA141" s="228"/>
      <c r="BB141" s="230"/>
    </row>
    <row r="142" spans="2:54" x14ac:dyDescent="0.2">
      <c r="B142" s="228"/>
      <c r="C142" s="228"/>
      <c r="D142" s="229"/>
      <c r="E142" s="229"/>
      <c r="F142" s="230"/>
      <c r="G142" s="228"/>
      <c r="H142" s="230"/>
      <c r="I142" s="228"/>
      <c r="J142" s="230"/>
      <c r="K142" s="230"/>
      <c r="L142" s="230"/>
      <c r="M142" s="230"/>
      <c r="N142" s="230"/>
      <c r="O142" s="228"/>
      <c r="P142" s="230"/>
      <c r="Q142" s="228"/>
      <c r="R142" s="230"/>
      <c r="T142" s="228"/>
      <c r="U142" s="228"/>
      <c r="V142" s="229"/>
      <c r="W142" s="229"/>
      <c r="X142" s="230"/>
      <c r="Y142" s="228"/>
      <c r="Z142" s="230"/>
      <c r="AA142" s="228"/>
      <c r="AB142" s="230"/>
      <c r="AC142" s="230"/>
      <c r="AD142" s="230"/>
      <c r="AE142" s="230"/>
      <c r="AF142" s="230"/>
      <c r="AG142" s="228"/>
      <c r="AH142" s="230"/>
      <c r="AI142" s="228"/>
      <c r="AJ142" s="230"/>
      <c r="AL142" s="228"/>
      <c r="AM142" s="228"/>
      <c r="AN142" s="229"/>
      <c r="AO142" s="229"/>
      <c r="AP142" s="230"/>
      <c r="AQ142" s="228"/>
      <c r="AR142" s="230"/>
      <c r="AS142" s="228"/>
      <c r="AT142" s="230"/>
      <c r="AU142" s="230"/>
      <c r="AV142" s="230"/>
      <c r="AW142" s="230"/>
      <c r="AX142" s="230"/>
      <c r="AY142" s="228"/>
      <c r="AZ142" s="230"/>
      <c r="BA142" s="228"/>
      <c r="BB142" s="230"/>
    </row>
    <row r="143" spans="2:54" x14ac:dyDescent="0.2">
      <c r="B143" s="225"/>
      <c r="C143" s="225"/>
      <c r="F143" s="226"/>
      <c r="G143" s="225"/>
      <c r="H143" s="226"/>
      <c r="I143" s="225"/>
      <c r="J143" s="226"/>
      <c r="K143" s="226"/>
      <c r="L143" s="226"/>
      <c r="M143" s="226"/>
      <c r="N143" s="226"/>
      <c r="O143" s="227"/>
      <c r="P143" s="226"/>
      <c r="Q143" s="227"/>
      <c r="R143" s="226"/>
      <c r="T143" s="225"/>
      <c r="U143" s="225"/>
      <c r="X143" s="226"/>
      <c r="Y143" s="225"/>
      <c r="Z143" s="226"/>
      <c r="AA143" s="225"/>
      <c r="AB143" s="226"/>
      <c r="AC143" s="226"/>
      <c r="AD143" s="226"/>
      <c r="AE143" s="226"/>
      <c r="AF143" s="226"/>
      <c r="AG143" s="227"/>
      <c r="AH143" s="226"/>
      <c r="AI143" s="227"/>
      <c r="AJ143" s="226"/>
      <c r="AL143" s="225"/>
      <c r="AM143" s="225"/>
      <c r="AP143" s="226"/>
      <c r="AQ143" s="225"/>
      <c r="AR143" s="226"/>
      <c r="AS143" s="225"/>
      <c r="AT143" s="226"/>
      <c r="AU143" s="226"/>
      <c r="AV143" s="226"/>
      <c r="AW143" s="226"/>
      <c r="AX143" s="226"/>
      <c r="AY143" s="227"/>
      <c r="AZ143" s="226"/>
      <c r="BA143" s="227"/>
      <c r="BB143" s="226"/>
    </row>
    <row r="144" spans="2:54" x14ac:dyDescent="0.2">
      <c r="B144" s="225"/>
      <c r="C144" s="225"/>
      <c r="F144" s="225"/>
      <c r="G144" s="225"/>
      <c r="H144" s="225"/>
      <c r="I144" s="225"/>
      <c r="J144" s="225"/>
      <c r="K144" s="225"/>
      <c r="L144" s="225"/>
      <c r="M144" s="225"/>
      <c r="N144" s="225"/>
      <c r="O144" s="225"/>
      <c r="P144" s="225"/>
      <c r="Q144" s="225"/>
      <c r="R144" s="225"/>
      <c r="T144" s="225"/>
      <c r="U144" s="225"/>
      <c r="X144" s="225"/>
      <c r="Y144" s="225"/>
      <c r="Z144" s="225"/>
      <c r="AA144" s="225"/>
      <c r="AB144" s="225"/>
      <c r="AC144" s="225"/>
      <c r="AD144" s="225"/>
      <c r="AE144" s="225"/>
      <c r="AF144" s="225"/>
      <c r="AG144" s="225"/>
      <c r="AH144" s="225"/>
      <c r="AI144" s="225"/>
      <c r="AJ144" s="225"/>
      <c r="AL144" s="225"/>
      <c r="AM144" s="225"/>
      <c r="AP144" s="225"/>
      <c r="AQ144" s="225"/>
      <c r="AR144" s="225"/>
      <c r="AS144" s="225"/>
      <c r="AT144" s="225"/>
      <c r="AU144" s="225"/>
      <c r="AV144" s="225"/>
      <c r="AW144" s="225"/>
      <c r="AX144" s="225"/>
      <c r="AY144" s="225"/>
      <c r="AZ144" s="225"/>
      <c r="BA144" s="225"/>
      <c r="BB144" s="225"/>
    </row>
    <row r="149" spans="2:54" x14ac:dyDescent="0.2">
      <c r="B149" s="225"/>
      <c r="C149" s="225"/>
      <c r="F149" s="225"/>
      <c r="G149" s="225"/>
      <c r="H149" s="225"/>
      <c r="I149" s="225"/>
      <c r="J149" s="225"/>
      <c r="K149" s="225"/>
      <c r="L149" s="225"/>
      <c r="M149" s="225"/>
      <c r="N149" s="225"/>
      <c r="O149" s="225"/>
      <c r="P149" s="225"/>
      <c r="Q149" s="225"/>
      <c r="R149" s="225"/>
      <c r="T149" s="225"/>
      <c r="U149" s="225"/>
      <c r="X149" s="225"/>
      <c r="Y149" s="225"/>
      <c r="Z149" s="225"/>
      <c r="AA149" s="225"/>
      <c r="AB149" s="225"/>
      <c r="AC149" s="225"/>
      <c r="AD149" s="225"/>
      <c r="AE149" s="225"/>
      <c r="AF149" s="225"/>
      <c r="AG149" s="225"/>
      <c r="AH149" s="225"/>
      <c r="AI149" s="225"/>
      <c r="AJ149" s="225"/>
      <c r="AL149" s="225"/>
      <c r="AM149" s="225"/>
      <c r="AP149" s="225"/>
      <c r="AQ149" s="225"/>
      <c r="AR149" s="225"/>
      <c r="AS149" s="225"/>
      <c r="AT149" s="225"/>
      <c r="AU149" s="225"/>
      <c r="AV149" s="225"/>
      <c r="AW149" s="225"/>
      <c r="AX149" s="225"/>
      <c r="AY149" s="225"/>
      <c r="AZ149" s="225"/>
      <c r="BA149" s="225"/>
      <c r="BB149" s="225"/>
    </row>
    <row r="150" spans="2:54" x14ac:dyDescent="0.2">
      <c r="B150" s="225"/>
      <c r="C150" s="225"/>
      <c r="F150" s="225"/>
      <c r="G150" s="225"/>
      <c r="H150" s="225"/>
      <c r="I150" s="225"/>
      <c r="J150" s="225"/>
      <c r="K150" s="225"/>
      <c r="L150" s="225"/>
      <c r="M150" s="225"/>
      <c r="N150" s="225"/>
      <c r="O150" s="225"/>
      <c r="P150" s="225"/>
      <c r="Q150" s="225"/>
      <c r="R150" s="225"/>
      <c r="T150" s="225"/>
      <c r="U150" s="225"/>
      <c r="X150" s="225"/>
      <c r="Y150" s="225"/>
      <c r="Z150" s="225"/>
      <c r="AA150" s="225"/>
      <c r="AB150" s="225"/>
      <c r="AC150" s="225"/>
      <c r="AD150" s="225"/>
      <c r="AE150" s="225"/>
      <c r="AF150" s="225"/>
      <c r="AG150" s="225"/>
      <c r="AH150" s="225"/>
      <c r="AI150" s="225"/>
      <c r="AJ150" s="225"/>
      <c r="AL150" s="225"/>
      <c r="AM150" s="225"/>
      <c r="AP150" s="225"/>
      <c r="AQ150" s="225"/>
      <c r="AR150" s="225"/>
      <c r="AS150" s="225"/>
      <c r="AT150" s="225"/>
      <c r="AU150" s="225"/>
      <c r="AV150" s="225"/>
      <c r="AW150" s="225"/>
      <c r="AX150" s="225"/>
      <c r="AY150" s="225"/>
      <c r="AZ150" s="225"/>
      <c r="BA150" s="225"/>
      <c r="BB150" s="225"/>
    </row>
    <row r="151" spans="2:54" x14ac:dyDescent="0.2">
      <c r="B151" s="225"/>
      <c r="C151" s="225"/>
      <c r="F151" s="225"/>
      <c r="G151" s="225"/>
      <c r="H151" s="225"/>
      <c r="I151" s="225"/>
      <c r="J151" s="225"/>
      <c r="K151" s="225"/>
      <c r="L151" s="225"/>
      <c r="M151" s="225"/>
      <c r="N151" s="225"/>
      <c r="O151" s="225"/>
      <c r="P151" s="225"/>
      <c r="Q151" s="225"/>
      <c r="R151" s="225"/>
      <c r="T151" s="225"/>
      <c r="U151" s="225"/>
      <c r="X151" s="225"/>
      <c r="Y151" s="225"/>
      <c r="Z151" s="225"/>
      <c r="AA151" s="225"/>
      <c r="AB151" s="225"/>
      <c r="AC151" s="225"/>
      <c r="AD151" s="225"/>
      <c r="AE151" s="225"/>
      <c r="AF151" s="225"/>
      <c r="AG151" s="225"/>
      <c r="AH151" s="225"/>
      <c r="AI151" s="225"/>
      <c r="AJ151" s="225"/>
      <c r="AL151" s="225"/>
      <c r="AM151" s="225"/>
      <c r="AP151" s="225"/>
      <c r="AQ151" s="225"/>
      <c r="AR151" s="225"/>
      <c r="AS151" s="225"/>
      <c r="AT151" s="225"/>
      <c r="AU151" s="225"/>
      <c r="AV151" s="225"/>
      <c r="AW151" s="225"/>
      <c r="AX151" s="225"/>
      <c r="AY151" s="225"/>
      <c r="AZ151" s="225"/>
      <c r="BA151" s="225"/>
      <c r="BB151" s="225"/>
    </row>
    <row r="152" spans="2:54" x14ac:dyDescent="0.2">
      <c r="B152" s="225"/>
      <c r="C152" s="225"/>
      <c r="F152" s="225"/>
      <c r="G152" s="225"/>
      <c r="H152" s="225"/>
      <c r="I152" s="225"/>
      <c r="J152" s="225"/>
      <c r="K152" s="225"/>
      <c r="L152" s="225"/>
      <c r="M152" s="225"/>
      <c r="N152" s="225"/>
      <c r="O152" s="225"/>
      <c r="P152" s="225"/>
      <c r="Q152" s="225"/>
      <c r="R152" s="225"/>
      <c r="T152" s="225"/>
      <c r="U152" s="225"/>
      <c r="X152" s="225"/>
      <c r="Y152" s="225"/>
      <c r="Z152" s="225"/>
      <c r="AA152" s="225"/>
      <c r="AB152" s="225"/>
      <c r="AC152" s="225"/>
      <c r="AD152" s="225"/>
      <c r="AE152" s="225"/>
      <c r="AF152" s="225"/>
      <c r="AG152" s="225"/>
      <c r="AH152" s="225"/>
      <c r="AI152" s="225"/>
      <c r="AJ152" s="225"/>
      <c r="AL152" s="225"/>
      <c r="AM152" s="225"/>
      <c r="AP152" s="225"/>
      <c r="AQ152" s="225"/>
      <c r="AR152" s="225"/>
      <c r="AS152" s="225"/>
      <c r="AT152" s="225"/>
      <c r="AU152" s="225"/>
      <c r="AV152" s="225"/>
      <c r="AW152" s="225"/>
      <c r="AX152" s="225"/>
      <c r="AY152" s="225"/>
      <c r="AZ152" s="225"/>
      <c r="BA152" s="225"/>
      <c r="BB152" s="225"/>
    </row>
    <row r="153" spans="2:54" x14ac:dyDescent="0.2">
      <c r="B153" s="225"/>
      <c r="C153" s="225"/>
      <c r="F153" s="225"/>
      <c r="G153" s="225"/>
      <c r="H153" s="225"/>
      <c r="I153" s="225"/>
      <c r="J153" s="225"/>
      <c r="K153" s="225"/>
      <c r="L153" s="225"/>
      <c r="M153" s="225"/>
      <c r="N153" s="225"/>
      <c r="O153" s="225"/>
      <c r="P153" s="225"/>
      <c r="Q153" s="225"/>
      <c r="R153" s="225"/>
      <c r="T153" s="225"/>
      <c r="U153" s="225"/>
      <c r="X153" s="225"/>
      <c r="Y153" s="225"/>
      <c r="Z153" s="225"/>
      <c r="AA153" s="225"/>
      <c r="AB153" s="225"/>
      <c r="AC153" s="225"/>
      <c r="AD153" s="225"/>
      <c r="AE153" s="225"/>
      <c r="AF153" s="225"/>
      <c r="AG153" s="225"/>
      <c r="AH153" s="225"/>
      <c r="AI153" s="225"/>
      <c r="AJ153" s="225"/>
      <c r="AL153" s="225"/>
      <c r="AM153" s="225"/>
      <c r="AP153" s="225"/>
      <c r="AQ153" s="225"/>
      <c r="AR153" s="225"/>
      <c r="AS153" s="225"/>
      <c r="AT153" s="225"/>
      <c r="AU153" s="225"/>
      <c r="AV153" s="225"/>
      <c r="AW153" s="225"/>
      <c r="AX153" s="225"/>
      <c r="AY153" s="225"/>
      <c r="AZ153" s="225"/>
      <c r="BA153" s="225"/>
      <c r="BB153" s="225"/>
    </row>
    <row r="154" spans="2:54" x14ac:dyDescent="0.2">
      <c r="B154" s="225"/>
      <c r="C154" s="225"/>
      <c r="F154" s="225"/>
      <c r="G154" s="225"/>
      <c r="H154" s="225"/>
      <c r="I154" s="225"/>
      <c r="J154" s="225"/>
      <c r="K154" s="225"/>
      <c r="L154" s="225"/>
      <c r="M154" s="225"/>
      <c r="N154" s="225"/>
      <c r="O154" s="225"/>
      <c r="P154" s="225"/>
      <c r="Q154" s="225"/>
      <c r="R154" s="225"/>
      <c r="T154" s="225"/>
      <c r="U154" s="225"/>
      <c r="X154" s="225"/>
      <c r="Y154" s="225"/>
      <c r="Z154" s="225"/>
      <c r="AA154" s="225"/>
      <c r="AB154" s="225"/>
      <c r="AC154" s="225"/>
      <c r="AD154" s="225"/>
      <c r="AE154" s="225"/>
      <c r="AF154" s="225"/>
      <c r="AG154" s="225"/>
      <c r="AH154" s="225"/>
      <c r="AI154" s="225"/>
      <c r="AJ154" s="225"/>
      <c r="AL154" s="225"/>
      <c r="AM154" s="225"/>
      <c r="AP154" s="225"/>
      <c r="AQ154" s="225"/>
      <c r="AR154" s="225"/>
      <c r="AS154" s="225"/>
      <c r="AT154" s="225"/>
      <c r="AU154" s="225"/>
      <c r="AV154" s="225"/>
      <c r="AW154" s="225"/>
      <c r="AX154" s="225"/>
      <c r="AY154" s="225"/>
      <c r="AZ154" s="225"/>
      <c r="BA154" s="225"/>
      <c r="BB154" s="225"/>
    </row>
    <row r="155" spans="2:54" x14ac:dyDescent="0.2">
      <c r="B155" s="225"/>
      <c r="C155" s="225"/>
      <c r="F155" s="225"/>
      <c r="G155" s="225"/>
      <c r="H155" s="225"/>
      <c r="I155" s="225"/>
      <c r="J155" s="225"/>
      <c r="K155" s="225"/>
      <c r="L155" s="225"/>
      <c r="M155" s="225"/>
      <c r="N155" s="225"/>
      <c r="O155" s="225"/>
      <c r="P155" s="225"/>
      <c r="Q155" s="225"/>
      <c r="R155" s="225"/>
      <c r="T155" s="225"/>
      <c r="U155" s="225"/>
      <c r="X155" s="225"/>
      <c r="Y155" s="225"/>
      <c r="Z155" s="225"/>
      <c r="AA155" s="225"/>
      <c r="AB155" s="225"/>
      <c r="AC155" s="225"/>
      <c r="AD155" s="225"/>
      <c r="AE155" s="225"/>
      <c r="AF155" s="225"/>
      <c r="AG155" s="225"/>
      <c r="AH155" s="225"/>
      <c r="AI155" s="225"/>
      <c r="AJ155" s="225"/>
      <c r="AL155" s="225"/>
      <c r="AM155" s="225"/>
      <c r="AP155" s="225"/>
      <c r="AQ155" s="225"/>
      <c r="AR155" s="225"/>
      <c r="AS155" s="225"/>
      <c r="AT155" s="225"/>
      <c r="AU155" s="225"/>
      <c r="AV155" s="225"/>
      <c r="AW155" s="225"/>
      <c r="AX155" s="225"/>
      <c r="AY155" s="225"/>
      <c r="AZ155" s="225"/>
      <c r="BA155" s="225"/>
      <c r="BB155" s="225"/>
    </row>
    <row r="156" spans="2:54" x14ac:dyDescent="0.2">
      <c r="B156" s="225"/>
      <c r="C156" s="225"/>
      <c r="F156" s="225"/>
      <c r="G156" s="225"/>
      <c r="H156" s="225"/>
      <c r="I156" s="225"/>
      <c r="J156" s="225"/>
      <c r="K156" s="225"/>
      <c r="L156" s="225"/>
      <c r="M156" s="225"/>
      <c r="N156" s="225"/>
      <c r="O156" s="225"/>
      <c r="P156" s="225"/>
      <c r="Q156" s="225"/>
      <c r="R156" s="225"/>
      <c r="T156" s="225"/>
      <c r="U156" s="225"/>
      <c r="X156" s="225"/>
      <c r="Y156" s="225"/>
      <c r="Z156" s="225"/>
      <c r="AA156" s="225"/>
      <c r="AB156" s="225"/>
      <c r="AC156" s="225"/>
      <c r="AD156" s="225"/>
      <c r="AE156" s="225"/>
      <c r="AF156" s="225"/>
      <c r="AG156" s="225"/>
      <c r="AH156" s="225"/>
      <c r="AI156" s="225"/>
      <c r="AJ156" s="225"/>
      <c r="AL156" s="225"/>
      <c r="AM156" s="225"/>
      <c r="AP156" s="225"/>
      <c r="AQ156" s="225"/>
      <c r="AR156" s="225"/>
      <c r="AS156" s="225"/>
      <c r="AT156" s="225"/>
      <c r="AU156" s="225"/>
      <c r="AV156" s="225"/>
      <c r="AW156" s="225"/>
      <c r="AX156" s="225"/>
      <c r="AY156" s="225"/>
      <c r="AZ156" s="225"/>
      <c r="BA156" s="225"/>
      <c r="BB156" s="225"/>
    </row>
    <row r="157" spans="2:54" x14ac:dyDescent="0.2">
      <c r="B157" s="225"/>
      <c r="C157" s="225"/>
      <c r="F157" s="225"/>
      <c r="G157" s="225"/>
      <c r="H157" s="225"/>
      <c r="I157" s="225"/>
      <c r="J157" s="225"/>
      <c r="K157" s="225"/>
      <c r="L157" s="225"/>
      <c r="M157" s="225"/>
      <c r="N157" s="225"/>
      <c r="O157" s="225"/>
      <c r="P157" s="225"/>
      <c r="Q157" s="225"/>
      <c r="R157" s="225"/>
      <c r="T157" s="225"/>
      <c r="U157" s="225"/>
      <c r="X157" s="225"/>
      <c r="Y157" s="225"/>
      <c r="Z157" s="225"/>
      <c r="AA157" s="225"/>
      <c r="AB157" s="225"/>
      <c r="AC157" s="225"/>
      <c r="AD157" s="225"/>
      <c r="AE157" s="225"/>
      <c r="AF157" s="225"/>
      <c r="AG157" s="225"/>
      <c r="AH157" s="225"/>
      <c r="AI157" s="225"/>
      <c r="AJ157" s="225"/>
      <c r="AL157" s="225"/>
      <c r="AM157" s="225"/>
      <c r="AP157" s="225"/>
      <c r="AQ157" s="225"/>
      <c r="AR157" s="225"/>
      <c r="AS157" s="225"/>
      <c r="AT157" s="225"/>
      <c r="AU157" s="225"/>
      <c r="AV157" s="225"/>
      <c r="AW157" s="225"/>
      <c r="AX157" s="225"/>
      <c r="AY157" s="225"/>
      <c r="AZ157" s="225"/>
      <c r="BA157" s="225"/>
      <c r="BB157" s="225"/>
    </row>
    <row r="158" spans="2:54" x14ac:dyDescent="0.2">
      <c r="B158" s="225"/>
      <c r="C158" s="225"/>
      <c r="F158" s="225"/>
      <c r="G158" s="225"/>
      <c r="H158" s="225"/>
      <c r="I158" s="225"/>
      <c r="J158" s="225"/>
      <c r="K158" s="225"/>
      <c r="L158" s="225"/>
      <c r="M158" s="225"/>
      <c r="N158" s="225"/>
      <c r="O158" s="225"/>
      <c r="P158" s="225"/>
      <c r="Q158" s="225"/>
      <c r="R158" s="225"/>
      <c r="T158" s="225"/>
      <c r="U158" s="225"/>
      <c r="X158" s="225"/>
      <c r="Y158" s="225"/>
      <c r="Z158" s="225"/>
      <c r="AA158" s="225"/>
      <c r="AB158" s="225"/>
      <c r="AC158" s="225"/>
      <c r="AD158" s="225"/>
      <c r="AE158" s="225"/>
      <c r="AF158" s="225"/>
      <c r="AG158" s="225"/>
      <c r="AH158" s="225"/>
      <c r="AI158" s="225"/>
      <c r="AJ158" s="225"/>
      <c r="AL158" s="225"/>
      <c r="AM158" s="225"/>
      <c r="AP158" s="225"/>
      <c r="AQ158" s="225"/>
      <c r="AR158" s="225"/>
      <c r="AS158" s="225"/>
      <c r="AT158" s="225"/>
      <c r="AU158" s="225"/>
      <c r="AV158" s="225"/>
      <c r="AW158" s="225"/>
      <c r="AX158" s="225"/>
      <c r="AY158" s="225"/>
      <c r="AZ158" s="225"/>
      <c r="BA158" s="225"/>
      <c r="BB158" s="225"/>
    </row>
    <row r="159" spans="2:54" x14ac:dyDescent="0.2">
      <c r="B159" s="225"/>
      <c r="C159" s="225"/>
      <c r="F159" s="225"/>
      <c r="G159" s="225"/>
      <c r="H159" s="225"/>
      <c r="I159" s="225"/>
      <c r="J159" s="225"/>
      <c r="K159" s="225"/>
      <c r="L159" s="225"/>
      <c r="M159" s="225"/>
      <c r="N159" s="225"/>
      <c r="O159" s="225"/>
      <c r="P159" s="225"/>
      <c r="Q159" s="225"/>
      <c r="R159" s="225"/>
      <c r="T159" s="225"/>
      <c r="U159" s="225"/>
      <c r="X159" s="225"/>
      <c r="Y159" s="225"/>
      <c r="Z159" s="225"/>
      <c r="AA159" s="225"/>
      <c r="AB159" s="225"/>
      <c r="AC159" s="225"/>
      <c r="AD159" s="225"/>
      <c r="AE159" s="225"/>
      <c r="AF159" s="225"/>
      <c r="AG159" s="225"/>
      <c r="AH159" s="225"/>
      <c r="AI159" s="225"/>
      <c r="AJ159" s="225"/>
      <c r="AL159" s="225"/>
      <c r="AM159" s="225"/>
      <c r="AP159" s="225"/>
      <c r="AQ159" s="225"/>
      <c r="AR159" s="225"/>
      <c r="AS159" s="225"/>
      <c r="AT159" s="225"/>
      <c r="AU159" s="225"/>
      <c r="AV159" s="225"/>
      <c r="AW159" s="225"/>
      <c r="AX159" s="225"/>
      <c r="AY159" s="225"/>
      <c r="AZ159" s="225"/>
      <c r="BA159" s="225"/>
      <c r="BB159" s="225"/>
    </row>
    <row r="160" spans="2:54" x14ac:dyDescent="0.2">
      <c r="B160" s="225"/>
      <c r="C160" s="225"/>
      <c r="F160" s="225"/>
      <c r="G160" s="225"/>
      <c r="H160" s="225"/>
      <c r="I160" s="225"/>
      <c r="J160" s="225"/>
      <c r="K160" s="225"/>
      <c r="L160" s="225"/>
      <c r="M160" s="225"/>
      <c r="N160" s="225"/>
      <c r="O160" s="225"/>
      <c r="P160" s="225"/>
      <c r="Q160" s="225"/>
      <c r="R160" s="225"/>
      <c r="T160" s="225"/>
      <c r="U160" s="225"/>
      <c r="X160" s="225"/>
      <c r="Y160" s="225"/>
      <c r="Z160" s="225"/>
      <c r="AA160" s="225"/>
      <c r="AB160" s="225"/>
      <c r="AC160" s="225"/>
      <c r="AD160" s="225"/>
      <c r="AE160" s="225"/>
      <c r="AF160" s="225"/>
      <c r="AG160" s="225"/>
      <c r="AH160" s="225"/>
      <c r="AI160" s="225"/>
      <c r="AJ160" s="225"/>
      <c r="AL160" s="225"/>
      <c r="AM160" s="225"/>
      <c r="AP160" s="225"/>
      <c r="AQ160" s="225"/>
      <c r="AR160" s="225"/>
      <c r="AS160" s="225"/>
      <c r="AT160" s="225"/>
      <c r="AU160" s="225"/>
      <c r="AV160" s="225"/>
      <c r="AW160" s="225"/>
      <c r="AX160" s="225"/>
      <c r="AY160" s="225"/>
      <c r="AZ160" s="225"/>
      <c r="BA160" s="225"/>
      <c r="BB160" s="225"/>
    </row>
    <row r="161" spans="2:54" x14ac:dyDescent="0.2">
      <c r="B161" s="225"/>
      <c r="C161" s="225"/>
      <c r="F161" s="225"/>
      <c r="G161" s="225"/>
      <c r="H161" s="225"/>
      <c r="I161" s="225"/>
      <c r="J161" s="225"/>
      <c r="K161" s="225"/>
      <c r="L161" s="225"/>
      <c r="M161" s="225"/>
      <c r="N161" s="225"/>
      <c r="O161" s="225"/>
      <c r="P161" s="225"/>
      <c r="Q161" s="225"/>
      <c r="R161" s="225"/>
      <c r="T161" s="225"/>
      <c r="U161" s="225"/>
      <c r="X161" s="225"/>
      <c r="Y161" s="225"/>
      <c r="Z161" s="225"/>
      <c r="AA161" s="225"/>
      <c r="AB161" s="225"/>
      <c r="AC161" s="225"/>
      <c r="AD161" s="225"/>
      <c r="AE161" s="225"/>
      <c r="AF161" s="225"/>
      <c r="AG161" s="225"/>
      <c r="AH161" s="225"/>
      <c r="AI161" s="225"/>
      <c r="AJ161" s="225"/>
      <c r="AL161" s="225"/>
      <c r="AM161" s="225"/>
      <c r="AP161" s="225"/>
      <c r="AQ161" s="225"/>
      <c r="AR161" s="225"/>
      <c r="AS161" s="225"/>
      <c r="AT161" s="225"/>
      <c r="AU161" s="225"/>
      <c r="AV161" s="225"/>
      <c r="AW161" s="225"/>
      <c r="AX161" s="225"/>
      <c r="AY161" s="225"/>
      <c r="AZ161" s="225"/>
      <c r="BA161" s="225"/>
      <c r="BB161" s="225"/>
    </row>
    <row r="162" spans="2:54" x14ac:dyDescent="0.2">
      <c r="B162" s="225"/>
      <c r="C162" s="225"/>
      <c r="F162" s="225"/>
      <c r="G162" s="225"/>
      <c r="H162" s="225"/>
      <c r="I162" s="225"/>
      <c r="J162" s="225"/>
      <c r="K162" s="225"/>
      <c r="L162" s="225"/>
      <c r="M162" s="225"/>
      <c r="N162" s="225"/>
      <c r="O162" s="225"/>
      <c r="P162" s="225"/>
      <c r="Q162" s="225"/>
      <c r="R162" s="225"/>
      <c r="T162" s="225"/>
      <c r="U162" s="225"/>
      <c r="X162" s="225"/>
      <c r="Y162" s="225"/>
      <c r="Z162" s="225"/>
      <c r="AA162" s="225"/>
      <c r="AB162" s="225"/>
      <c r="AC162" s="225"/>
      <c r="AD162" s="225"/>
      <c r="AE162" s="225"/>
      <c r="AF162" s="225"/>
      <c r="AG162" s="225"/>
      <c r="AH162" s="225"/>
      <c r="AI162" s="225"/>
      <c r="AJ162" s="225"/>
      <c r="AL162" s="225"/>
      <c r="AM162" s="225"/>
      <c r="AP162" s="225"/>
      <c r="AQ162" s="225"/>
      <c r="AR162" s="225"/>
      <c r="AS162" s="225"/>
      <c r="AT162" s="225"/>
      <c r="AU162" s="225"/>
      <c r="AV162" s="225"/>
      <c r="AW162" s="225"/>
      <c r="AX162" s="225"/>
      <c r="AY162" s="225"/>
      <c r="AZ162" s="225"/>
      <c r="BA162" s="225"/>
      <c r="BB162" s="225"/>
    </row>
    <row r="163" spans="2:54" x14ac:dyDescent="0.2">
      <c r="B163" s="225"/>
      <c r="C163" s="225"/>
      <c r="D163" s="159"/>
      <c r="F163" s="225"/>
      <c r="G163" s="225"/>
      <c r="H163" s="225"/>
      <c r="I163" s="225"/>
      <c r="J163" s="225"/>
      <c r="K163" s="225"/>
      <c r="L163" s="225"/>
      <c r="M163" s="225"/>
      <c r="N163" s="225"/>
      <c r="O163" s="2"/>
      <c r="P163" s="225"/>
      <c r="Q163" s="2"/>
      <c r="R163" s="225"/>
      <c r="T163" s="225"/>
      <c r="U163" s="225"/>
      <c r="V163" s="159"/>
      <c r="X163" s="225"/>
      <c r="Y163" s="225"/>
      <c r="Z163" s="225"/>
      <c r="AA163" s="225"/>
      <c r="AB163" s="225"/>
      <c r="AC163" s="225"/>
      <c r="AD163" s="225"/>
      <c r="AE163" s="225"/>
      <c r="AF163" s="225"/>
      <c r="AG163" s="2"/>
      <c r="AH163" s="225"/>
      <c r="AI163" s="2"/>
      <c r="AJ163" s="225"/>
      <c r="AL163" s="225"/>
      <c r="AM163" s="225"/>
      <c r="AN163" s="159"/>
      <c r="AP163" s="225"/>
      <c r="AQ163" s="225"/>
      <c r="AR163" s="225"/>
      <c r="AS163" s="225"/>
      <c r="AT163" s="225"/>
      <c r="AU163" s="225"/>
      <c r="AV163" s="225"/>
      <c r="AW163" s="225"/>
      <c r="AX163" s="225"/>
      <c r="AY163" s="2"/>
      <c r="AZ163" s="225"/>
      <c r="BA163" s="2"/>
      <c r="BB163" s="225"/>
    </row>
    <row r="164" spans="2:54" x14ac:dyDescent="0.2">
      <c r="D164" s="231"/>
      <c r="E164" s="2"/>
      <c r="O164" s="2"/>
      <c r="Q164" s="2"/>
      <c r="V164" s="231"/>
      <c r="W164" s="2"/>
      <c r="AG164" s="2"/>
      <c r="AI164" s="2"/>
      <c r="AN164" s="231"/>
      <c r="AO164" s="2"/>
      <c r="AY164" s="2"/>
      <c r="BA164" s="2"/>
    </row>
    <row r="165" spans="2:54" x14ac:dyDescent="0.2">
      <c r="D165" s="231"/>
      <c r="E165" s="232"/>
      <c r="O165" s="2"/>
      <c r="Q165" s="2"/>
      <c r="V165" s="231"/>
      <c r="W165" s="232"/>
      <c r="AG165" s="2"/>
      <c r="AI165" s="2"/>
      <c r="AN165" s="231"/>
      <c r="AO165" s="232"/>
      <c r="AY165" s="2"/>
      <c r="BA165" s="2"/>
    </row>
    <row r="166" spans="2:54" x14ac:dyDescent="0.2">
      <c r="D166" s="231"/>
      <c r="E166" s="233"/>
      <c r="V166" s="231"/>
      <c r="W166" s="233"/>
      <c r="AN166" s="231"/>
      <c r="AO166" s="233"/>
    </row>
    <row r="167" spans="2:54" x14ac:dyDescent="0.2">
      <c r="D167" s="231"/>
      <c r="E167" s="232"/>
      <c r="O167" s="2"/>
      <c r="Q167" s="2"/>
      <c r="V167" s="231"/>
      <c r="W167" s="232"/>
      <c r="AG167" s="2"/>
      <c r="AI167" s="2"/>
      <c r="AN167" s="231"/>
      <c r="AO167" s="232"/>
      <c r="AY167" s="2"/>
      <c r="BA167" s="2"/>
    </row>
    <row r="168" spans="2:54" x14ac:dyDescent="0.2">
      <c r="D168" s="232"/>
      <c r="E168" s="232"/>
      <c r="O168" s="2"/>
      <c r="Q168" s="2"/>
      <c r="V168" s="232"/>
      <c r="W168" s="232"/>
      <c r="AG168" s="2"/>
      <c r="AI168" s="2"/>
      <c r="AN168" s="232"/>
      <c r="AO168" s="232"/>
      <c r="AY168" s="2"/>
      <c r="BA168" s="2"/>
    </row>
    <row r="169" spans="2:54" x14ac:dyDescent="0.2">
      <c r="D169" s="232"/>
      <c r="V169" s="232"/>
      <c r="AN169" s="232"/>
    </row>
    <row r="170" spans="2:54" x14ac:dyDescent="0.2">
      <c r="E170" s="232"/>
      <c r="W170" s="232"/>
      <c r="AO170" s="232"/>
    </row>
    <row r="171" spans="2:54" x14ac:dyDescent="0.2">
      <c r="E171" s="232"/>
      <c r="W171" s="232"/>
      <c r="AO171" s="232"/>
    </row>
  </sheetData>
  <sheetProtection algorithmName="SHA-512" hashValue="jFLTdAn3OqCBl5CVqJtSEAjROeKv6volI3RbPMIs10yV44xn+iF0iV1YnSASCFQEoBegotKXb0rwO3CHHF5/vQ==" saltValue="7G86ofMFHO+KZW46lbTj7A==" spinCount="100000" sheet="1" selectLockedCells="1"/>
  <mergeCells count="9">
    <mergeCell ref="AG6:AI6"/>
    <mergeCell ref="AQ6:AS6"/>
    <mergeCell ref="AU6:AW6"/>
    <mergeCell ref="AY6:BA6"/>
    <mergeCell ref="G6:I6"/>
    <mergeCell ref="K6:M6"/>
    <mergeCell ref="O6:Q6"/>
    <mergeCell ref="Y6:AA6"/>
    <mergeCell ref="AC6:AE6"/>
  </mergeCells>
  <phoneticPr fontId="22" type="noConversion"/>
  <printOptions horizontalCentered="1"/>
  <pageMargins left="0.39370078740157483" right="0.39370078740157483" top="0.39370078740157483" bottom="0.59055118110236227" header="0.19685039370078741" footer="0.19685039370078741"/>
  <pageSetup paperSize="9" orientation="landscape" verticalDpi="60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8CED2-B574-4BBC-B604-3CE3D075FC55}">
  <sheetPr>
    <pageSetUpPr fitToPage="1"/>
  </sheetPr>
  <dimension ref="B3:AC68"/>
  <sheetViews>
    <sheetView zoomScale="90" zoomScaleNormal="90" workbookViewId="0">
      <selection activeCell="O26" sqref="O26"/>
    </sheetView>
  </sheetViews>
  <sheetFormatPr baseColWidth="10" defaultColWidth="9" defaultRowHeight="12.75" x14ac:dyDescent="0.2"/>
  <cols>
    <col min="1" max="1" width="4" style="2" customWidth="1"/>
    <col min="2" max="3" width="9" style="2"/>
    <col min="4" max="4" width="19.625" style="2" customWidth="1"/>
    <col min="5" max="5" width="16.25" style="2" customWidth="1"/>
    <col min="6" max="18" width="9" style="2" customWidth="1"/>
    <col min="19" max="19" width="18.375" style="2" bestFit="1" customWidth="1"/>
    <col min="20" max="20" width="10.5" style="2" customWidth="1"/>
    <col min="21" max="21" width="29.125" style="2" bestFit="1" customWidth="1"/>
    <col min="22" max="22" width="12.75" style="2" bestFit="1" customWidth="1"/>
    <col min="23" max="23" width="10.625" style="2" bestFit="1" customWidth="1"/>
    <col min="24" max="24" width="29.125" style="2" bestFit="1" customWidth="1"/>
    <col min="25" max="25" width="12.75" style="2" bestFit="1" customWidth="1"/>
    <col min="26" max="26" width="10.625" style="2" bestFit="1" customWidth="1"/>
    <col min="27" max="27" width="29.125" style="2" bestFit="1" customWidth="1"/>
    <col min="28" max="28" width="21.875" style="2" bestFit="1" customWidth="1"/>
    <col min="29" max="16384" width="9" style="2"/>
  </cols>
  <sheetData>
    <row r="3" spans="2:29" ht="18" x14ac:dyDescent="0.25">
      <c r="B3" s="199"/>
      <c r="C3" s="199"/>
      <c r="D3" s="200" t="s">
        <v>36</v>
      </c>
      <c r="E3" s="201"/>
      <c r="F3" s="199"/>
      <c r="G3" s="202" t="s">
        <v>96</v>
      </c>
      <c r="H3" s="202"/>
      <c r="I3" s="202"/>
      <c r="J3" s="202"/>
      <c r="K3" s="202"/>
      <c r="L3" s="202"/>
      <c r="M3" s="202"/>
      <c r="N3" s="202"/>
      <c r="O3" s="202"/>
      <c r="P3" s="202"/>
      <c r="Q3" s="202"/>
      <c r="R3" s="202"/>
      <c r="S3" s="236" t="s">
        <v>37</v>
      </c>
      <c r="T3" s="3"/>
      <c r="U3" s="3"/>
      <c r="V3" s="3"/>
      <c r="W3" s="3"/>
      <c r="X3" s="3"/>
      <c r="Y3" s="3"/>
      <c r="Z3" s="3"/>
      <c r="AA3" s="3"/>
      <c r="AB3" s="3"/>
      <c r="AC3" s="3"/>
    </row>
    <row r="4" spans="2:29" ht="18" x14ac:dyDescent="0.2">
      <c r="B4" s="199"/>
      <c r="C4" s="199"/>
      <c r="D4" s="200"/>
      <c r="E4" s="201"/>
      <c r="F4" s="199"/>
      <c r="G4" s="381" t="s">
        <v>27</v>
      </c>
      <c r="H4" s="381"/>
      <c r="I4" s="381"/>
      <c r="J4" s="3"/>
      <c r="K4" s="382" t="s">
        <v>28</v>
      </c>
      <c r="L4" s="382"/>
      <c r="M4" s="382"/>
      <c r="N4" s="3"/>
      <c r="O4" s="381" t="s">
        <v>29</v>
      </c>
      <c r="P4" s="381"/>
      <c r="Q4" s="381"/>
      <c r="R4" s="203"/>
      <c r="S4" s="383">
        <v>2020</v>
      </c>
      <c r="T4" s="384"/>
      <c r="U4" s="385"/>
      <c r="V4" s="383">
        <v>2025</v>
      </c>
      <c r="W4" s="384"/>
      <c r="X4" s="385"/>
      <c r="Y4" s="383">
        <v>2030</v>
      </c>
      <c r="Z4" s="384"/>
      <c r="AA4" s="385"/>
      <c r="AB4" s="237" t="s">
        <v>23</v>
      </c>
      <c r="AC4" s="3"/>
    </row>
    <row r="5" spans="2:29" ht="25.5" x14ac:dyDescent="0.2">
      <c r="B5" s="203"/>
      <c r="C5" s="203"/>
      <c r="D5" s="204" t="s">
        <v>38</v>
      </c>
      <c r="E5" s="204" t="s">
        <v>39</v>
      </c>
      <c r="F5" s="3"/>
      <c r="G5" s="238">
        <v>2020</v>
      </c>
      <c r="H5" s="199">
        <v>2025</v>
      </c>
      <c r="I5" s="239">
        <v>2030</v>
      </c>
      <c r="J5" s="199"/>
      <c r="K5" s="238">
        <v>2020</v>
      </c>
      <c r="L5" s="199">
        <v>2025</v>
      </c>
      <c r="M5" s="239">
        <v>2030</v>
      </c>
      <c r="N5" s="199"/>
      <c r="O5" s="238">
        <v>2020</v>
      </c>
      <c r="P5" s="199">
        <v>2025</v>
      </c>
      <c r="Q5" s="239">
        <v>2030</v>
      </c>
      <c r="R5" s="199"/>
      <c r="S5" s="240" t="s">
        <v>27</v>
      </c>
      <c r="T5" s="241" t="s">
        <v>28</v>
      </c>
      <c r="U5" s="242" t="s">
        <v>29</v>
      </c>
      <c r="V5" s="240" t="s">
        <v>27</v>
      </c>
      <c r="W5" s="241" t="s">
        <v>28</v>
      </c>
      <c r="X5" s="242" t="s">
        <v>29</v>
      </c>
      <c r="Y5" s="240" t="s">
        <v>27</v>
      </c>
      <c r="Z5" s="241" t="s">
        <v>28</v>
      </c>
      <c r="AA5" s="242" t="s">
        <v>29</v>
      </c>
      <c r="AB5" s="243"/>
      <c r="AC5" s="3"/>
    </row>
    <row r="6" spans="2:29" x14ac:dyDescent="0.2">
      <c r="B6" s="205"/>
      <c r="C6" s="205" t="s">
        <v>93</v>
      </c>
      <c r="D6" s="204"/>
      <c r="E6" s="204"/>
      <c r="F6" s="3"/>
      <c r="G6" s="244"/>
      <c r="H6" s="245"/>
      <c r="I6" s="246"/>
      <c r="J6" s="245"/>
      <c r="K6" s="244"/>
      <c r="L6" s="245"/>
      <c r="M6" s="246"/>
      <c r="N6" s="245"/>
      <c r="O6" s="244"/>
      <c r="P6" s="245"/>
      <c r="Q6" s="246"/>
      <c r="R6" s="199"/>
      <c r="S6" s="247"/>
      <c r="T6" s="34"/>
      <c r="U6" s="248"/>
      <c r="V6" s="247"/>
      <c r="W6" s="34"/>
      <c r="X6" s="248"/>
      <c r="Y6" s="249"/>
      <c r="Z6" s="3"/>
      <c r="AA6" s="250"/>
      <c r="AB6" s="251"/>
      <c r="AC6" s="3"/>
    </row>
    <row r="7" spans="2:29" x14ac:dyDescent="0.2">
      <c r="B7" s="206"/>
      <c r="C7" s="206"/>
      <c r="D7" s="3" t="s">
        <v>32</v>
      </c>
      <c r="E7" s="3" t="s">
        <v>41</v>
      </c>
      <c r="F7" s="3"/>
      <c r="G7" s="252">
        <v>1.8316E-4</v>
      </c>
      <c r="H7" s="253">
        <f>G7</f>
        <v>1.8316E-4</v>
      </c>
      <c r="I7" s="254">
        <f>G7</f>
        <v>1.8316E-4</v>
      </c>
      <c r="J7" s="255"/>
      <c r="K7" s="256" t="s">
        <v>121</v>
      </c>
      <c r="L7" s="257" t="s">
        <v>121</v>
      </c>
      <c r="M7" s="258" t="s">
        <v>121</v>
      </c>
      <c r="N7" s="255"/>
      <c r="O7" s="252">
        <v>3.1350000000000003E-5</v>
      </c>
      <c r="P7" s="253">
        <f t="shared" ref="P7:P55" si="0">O7</f>
        <v>3.1350000000000003E-5</v>
      </c>
      <c r="Q7" s="254">
        <f>O7</f>
        <v>3.1350000000000003E-5</v>
      </c>
      <c r="R7" s="199"/>
      <c r="S7" s="249" t="s">
        <v>400</v>
      </c>
      <c r="T7" s="259"/>
      <c r="U7" s="250" t="s">
        <v>401</v>
      </c>
      <c r="V7" s="249" t="str">
        <f>S7</f>
        <v>DEFRA (2021 a)</v>
      </c>
      <c r="W7" s="259"/>
      <c r="X7" s="250" t="str">
        <f>U7</f>
        <v>DEFRA (2021 b)</v>
      </c>
      <c r="Y7" s="249" t="str">
        <f>V7</f>
        <v>DEFRA (2021 a)</v>
      </c>
      <c r="Z7" s="259"/>
      <c r="AA7" s="250" t="str">
        <f>X7</f>
        <v>DEFRA (2021 b)</v>
      </c>
      <c r="AB7" s="251"/>
      <c r="AC7" s="3"/>
    </row>
    <row r="8" spans="2:29" x14ac:dyDescent="0.2">
      <c r="B8" s="206"/>
      <c r="C8" s="206"/>
      <c r="D8" s="3" t="s">
        <v>33</v>
      </c>
      <c r="E8" s="3" t="s">
        <v>43</v>
      </c>
      <c r="F8" s="3"/>
      <c r="G8" s="252">
        <v>2.6676E-4</v>
      </c>
      <c r="H8" s="253">
        <f>G8</f>
        <v>2.6676E-4</v>
      </c>
      <c r="I8" s="254">
        <f>G8</f>
        <v>2.6676E-4</v>
      </c>
      <c r="J8" s="255"/>
      <c r="K8" s="256" t="s">
        <v>121</v>
      </c>
      <c r="L8" s="257" t="s">
        <v>121</v>
      </c>
      <c r="M8" s="258" t="s">
        <v>121</v>
      </c>
      <c r="N8" s="255"/>
      <c r="O8" s="252">
        <v>3.9576000000000002E-5</v>
      </c>
      <c r="P8" s="253">
        <f t="shared" si="0"/>
        <v>3.9576000000000002E-5</v>
      </c>
      <c r="Q8" s="254">
        <f t="shared" ref="Q8:Q55" si="1">O8</f>
        <v>3.9576000000000002E-5</v>
      </c>
      <c r="R8" s="199"/>
      <c r="S8" s="249" t="s">
        <v>396</v>
      </c>
      <c r="T8" s="259"/>
      <c r="U8" s="250" t="s">
        <v>397</v>
      </c>
      <c r="V8" s="249" t="str">
        <f>S8</f>
        <v>DEHSt (2022)</v>
      </c>
      <c r="W8" s="259"/>
      <c r="X8" s="250" t="str">
        <f>U8</f>
        <v>GEMIS 5.0</v>
      </c>
      <c r="Y8" s="249" t="str">
        <f>V8</f>
        <v>DEHSt (2022)</v>
      </c>
      <c r="Z8" s="259"/>
      <c r="AA8" s="250" t="str">
        <f>X8</f>
        <v>GEMIS 5.0</v>
      </c>
      <c r="AB8" s="251"/>
      <c r="AC8" s="3"/>
    </row>
    <row r="9" spans="2:29" x14ac:dyDescent="0.2">
      <c r="B9" s="206"/>
      <c r="C9" s="206"/>
      <c r="D9" s="3" t="s">
        <v>45</v>
      </c>
      <c r="E9" s="3" t="s">
        <v>43</v>
      </c>
      <c r="F9" s="3"/>
      <c r="G9" s="256" t="s">
        <v>121</v>
      </c>
      <c r="H9" s="257" t="s">
        <v>121</v>
      </c>
      <c r="I9" s="258" t="s">
        <v>121</v>
      </c>
      <c r="J9" s="253"/>
      <c r="K9" s="252">
        <v>3.8200000000000002E-4</v>
      </c>
      <c r="L9" s="253">
        <f>0.277538771308252/1000</f>
        <v>2.7753877130825199E-4</v>
      </c>
      <c r="M9" s="254">
        <f>0.136783455213579/1000</f>
        <v>1.3678345521357901E-4</v>
      </c>
      <c r="N9" s="255"/>
      <c r="O9" s="252">
        <v>5.5999999999999999E-5</v>
      </c>
      <c r="P9" s="253">
        <f>O9*L68</f>
        <v>4.0686312024246369E-5</v>
      </c>
      <c r="Q9" s="254">
        <f>O9*M68</f>
        <v>2.0052024848063938E-5</v>
      </c>
      <c r="R9" s="199"/>
      <c r="S9" s="249"/>
      <c r="T9" s="3" t="s">
        <v>398</v>
      </c>
      <c r="U9" s="250" t="s">
        <v>398</v>
      </c>
      <c r="V9" s="249"/>
      <c r="W9" s="3" t="s">
        <v>420</v>
      </c>
      <c r="X9" s="250" t="s">
        <v>420</v>
      </c>
      <c r="Y9" s="249"/>
      <c r="Z9" s="3" t="str">
        <f>W9</f>
        <v>Agora (2022)</v>
      </c>
      <c r="AA9" s="250" t="str">
        <f>X9</f>
        <v>Agora (2022)</v>
      </c>
      <c r="AB9" s="251"/>
      <c r="AC9" s="3"/>
    </row>
    <row r="10" spans="2:29" x14ac:dyDescent="0.2">
      <c r="B10" s="206"/>
      <c r="C10" s="206"/>
      <c r="D10" s="3" t="s">
        <v>126</v>
      </c>
      <c r="E10" s="3" t="s">
        <v>43</v>
      </c>
      <c r="F10" s="3"/>
      <c r="G10" s="256" t="s">
        <v>189</v>
      </c>
      <c r="H10" s="257" t="s">
        <v>189</v>
      </c>
      <c r="I10" s="258" t="s">
        <v>189</v>
      </c>
      <c r="J10" s="253"/>
      <c r="K10" s="252" t="s">
        <v>189</v>
      </c>
      <c r="L10" s="253" t="s">
        <v>189</v>
      </c>
      <c r="M10" s="254" t="s">
        <v>189</v>
      </c>
      <c r="N10" s="255"/>
      <c r="O10" s="252" t="s">
        <v>189</v>
      </c>
      <c r="P10" s="253" t="s">
        <v>189</v>
      </c>
      <c r="Q10" s="254" t="s">
        <v>189</v>
      </c>
      <c r="R10" s="199"/>
      <c r="S10" s="249"/>
      <c r="T10" s="3"/>
      <c r="U10" s="250"/>
      <c r="V10" s="249"/>
      <c r="W10" s="3"/>
      <c r="X10" s="250"/>
      <c r="Y10" s="249"/>
      <c r="Z10" s="3"/>
      <c r="AA10" s="250"/>
      <c r="AB10" s="251"/>
      <c r="AC10" s="3"/>
    </row>
    <row r="11" spans="2:29" x14ac:dyDescent="0.2">
      <c r="B11" s="206"/>
      <c r="C11" s="206"/>
      <c r="D11" s="208" t="s">
        <v>125</v>
      </c>
      <c r="E11" s="3" t="s">
        <v>44</v>
      </c>
      <c r="F11" s="3"/>
      <c r="G11" s="252">
        <v>2.3030999999999998E-4</v>
      </c>
      <c r="H11" s="253">
        <f>G11</f>
        <v>2.3030999999999998E-4</v>
      </c>
      <c r="I11" s="254">
        <f>G11</f>
        <v>2.3030999999999998E-4</v>
      </c>
      <c r="J11" s="253"/>
      <c r="K11" s="256" t="s">
        <v>121</v>
      </c>
      <c r="L11" s="257" t="s">
        <v>121</v>
      </c>
      <c r="M11" s="258" t="s">
        <v>121</v>
      </c>
      <c r="N11" s="255"/>
      <c r="O11" s="252">
        <v>2.7189999999999999E-5</v>
      </c>
      <c r="P11" s="253">
        <f>O11</f>
        <v>2.7189999999999999E-5</v>
      </c>
      <c r="Q11" s="254">
        <f>O11</f>
        <v>2.7189999999999999E-5</v>
      </c>
      <c r="R11" s="199"/>
      <c r="S11" s="249" t="s">
        <v>402</v>
      </c>
      <c r="T11" s="259"/>
      <c r="U11" s="250" t="s">
        <v>403</v>
      </c>
      <c r="V11" s="249" t="str">
        <f>S11</f>
        <v>DEFRA (2021 c)</v>
      </c>
      <c r="W11" s="259"/>
      <c r="X11" s="250" t="str">
        <f>U11</f>
        <v>DEFRA (2021 d)</v>
      </c>
      <c r="Y11" s="249" t="str">
        <f>V11</f>
        <v>DEFRA (2021 c)</v>
      </c>
      <c r="Z11" s="259"/>
      <c r="AA11" s="250" t="str">
        <f>X11</f>
        <v>DEFRA (2021 d)</v>
      </c>
      <c r="AB11" s="251"/>
      <c r="AC11" s="3"/>
    </row>
    <row r="12" spans="2:29" x14ac:dyDescent="0.2">
      <c r="B12" s="206"/>
      <c r="C12" s="206"/>
      <c r="D12" s="3" t="s">
        <v>127</v>
      </c>
      <c r="E12" s="3" t="s">
        <v>43</v>
      </c>
      <c r="F12" s="3"/>
      <c r="G12" s="252" t="s">
        <v>189</v>
      </c>
      <c r="H12" s="253" t="s">
        <v>189</v>
      </c>
      <c r="I12" s="254" t="s">
        <v>189</v>
      </c>
      <c r="J12" s="253"/>
      <c r="K12" s="256" t="s">
        <v>189</v>
      </c>
      <c r="L12" s="257" t="s">
        <v>189</v>
      </c>
      <c r="M12" s="258" t="s">
        <v>189</v>
      </c>
      <c r="N12" s="255"/>
      <c r="O12" s="252" t="s">
        <v>189</v>
      </c>
      <c r="P12" s="253" t="s">
        <v>189</v>
      </c>
      <c r="Q12" s="254" t="s">
        <v>189</v>
      </c>
      <c r="R12" s="199"/>
      <c r="S12" s="249"/>
      <c r="T12" s="259"/>
      <c r="U12" s="250"/>
      <c r="V12" s="249"/>
      <c r="W12" s="259"/>
      <c r="X12" s="250"/>
      <c r="Y12" s="249"/>
      <c r="Z12" s="259"/>
      <c r="AA12" s="250"/>
      <c r="AB12" s="251"/>
      <c r="AC12" s="3"/>
    </row>
    <row r="13" spans="2:29" x14ac:dyDescent="0.2">
      <c r="B13" s="206"/>
      <c r="C13" s="206"/>
      <c r="D13" s="208" t="s">
        <v>35</v>
      </c>
      <c r="E13" s="3" t="s">
        <v>42</v>
      </c>
      <c r="F13" s="3"/>
      <c r="G13" s="252">
        <v>2.6580855599999996E-3</v>
      </c>
      <c r="H13" s="253">
        <f>G13</f>
        <v>2.6580855599999996E-3</v>
      </c>
      <c r="I13" s="254">
        <f>G13</f>
        <v>2.6580855599999996E-3</v>
      </c>
      <c r="J13" s="255"/>
      <c r="K13" s="256" t="s">
        <v>121</v>
      </c>
      <c r="L13" s="257" t="s">
        <v>121</v>
      </c>
      <c r="M13" s="258" t="s">
        <v>121</v>
      </c>
      <c r="N13" s="255"/>
      <c r="O13" s="252">
        <v>4.6962396000000008E-4</v>
      </c>
      <c r="P13" s="253">
        <f t="shared" si="0"/>
        <v>4.6962396000000008E-4</v>
      </c>
      <c r="Q13" s="254">
        <f t="shared" si="1"/>
        <v>4.6962396000000008E-4</v>
      </c>
      <c r="R13" s="199"/>
      <c r="S13" s="249" t="s">
        <v>396</v>
      </c>
      <c r="T13" s="259"/>
      <c r="U13" s="250" t="s">
        <v>405</v>
      </c>
      <c r="V13" s="249" t="str">
        <f>S13</f>
        <v>DEHSt (2022)</v>
      </c>
      <c r="W13" s="259"/>
      <c r="X13" s="250" t="str">
        <f>U13</f>
        <v>GEMIS (2019)</v>
      </c>
      <c r="Y13" s="249" t="str">
        <f>V13</f>
        <v>DEHSt (2022)</v>
      </c>
      <c r="Z13" s="259"/>
      <c r="AA13" s="250" t="str">
        <f>X13</f>
        <v>GEMIS (2019)</v>
      </c>
      <c r="AB13" s="251"/>
      <c r="AC13" s="3"/>
    </row>
    <row r="14" spans="2:29" x14ac:dyDescent="0.2">
      <c r="B14" s="206"/>
      <c r="C14" s="206"/>
      <c r="D14" s="208"/>
      <c r="E14" s="3"/>
      <c r="F14" s="3"/>
      <c r="G14" s="252"/>
      <c r="H14" s="255"/>
      <c r="I14" s="246"/>
      <c r="J14" s="255"/>
      <c r="K14" s="256"/>
      <c r="L14" s="257"/>
      <c r="M14" s="258"/>
      <c r="N14" s="255"/>
      <c r="O14" s="252"/>
      <c r="P14" s="253"/>
      <c r="Q14" s="254"/>
      <c r="R14" s="199"/>
      <c r="S14" s="249"/>
      <c r="T14" s="3"/>
      <c r="U14" s="250"/>
      <c r="V14" s="249"/>
      <c r="W14" s="3"/>
      <c r="X14" s="250"/>
      <c r="Y14" s="249"/>
      <c r="Z14" s="3"/>
      <c r="AA14" s="250"/>
      <c r="AB14" s="251"/>
      <c r="AC14" s="3"/>
    </row>
    <row r="15" spans="2:29" x14ac:dyDescent="0.2">
      <c r="B15" s="206"/>
      <c r="C15" s="206"/>
      <c r="D15" s="208" t="s">
        <v>46</v>
      </c>
      <c r="E15" s="3" t="s">
        <v>42</v>
      </c>
      <c r="F15" s="3"/>
      <c r="G15" s="256" t="s">
        <v>121</v>
      </c>
      <c r="H15" s="257" t="s">
        <v>121</v>
      </c>
      <c r="I15" s="258" t="s">
        <v>121</v>
      </c>
      <c r="J15" s="255"/>
      <c r="K15" s="256" t="s">
        <v>121</v>
      </c>
      <c r="L15" s="257" t="s">
        <v>121</v>
      </c>
      <c r="M15" s="258" t="s">
        <v>121</v>
      </c>
      <c r="N15" s="255"/>
      <c r="O15" s="252">
        <v>3.1277095199999999E-3</v>
      </c>
      <c r="P15" s="253">
        <f t="shared" si="0"/>
        <v>3.1277095199999999E-3</v>
      </c>
      <c r="Q15" s="254">
        <f t="shared" si="1"/>
        <v>3.1277095199999999E-3</v>
      </c>
      <c r="R15" s="199"/>
      <c r="S15" s="249"/>
      <c r="T15" s="259"/>
      <c r="U15" s="250" t="s">
        <v>405</v>
      </c>
      <c r="V15" s="249"/>
      <c r="W15" s="259"/>
      <c r="X15" s="250" t="str">
        <f>U15</f>
        <v>GEMIS (2019)</v>
      </c>
      <c r="Y15" s="249"/>
      <c r="Z15" s="259"/>
      <c r="AA15" s="250" t="str">
        <f>X15</f>
        <v>GEMIS (2019)</v>
      </c>
      <c r="AB15" s="251"/>
      <c r="AC15" s="3"/>
    </row>
    <row r="16" spans="2:29" x14ac:dyDescent="0.2">
      <c r="B16" s="206"/>
      <c r="C16" s="206"/>
      <c r="D16" s="208" t="s">
        <v>47</v>
      </c>
      <c r="E16" s="3" t="s">
        <v>42</v>
      </c>
      <c r="F16" s="3"/>
      <c r="G16" s="256" t="s">
        <v>121</v>
      </c>
      <c r="H16" s="257" t="s">
        <v>121</v>
      </c>
      <c r="I16" s="258" t="s">
        <v>121</v>
      </c>
      <c r="J16" s="255"/>
      <c r="K16" s="256" t="s">
        <v>121</v>
      </c>
      <c r="L16" s="257" t="s">
        <v>121</v>
      </c>
      <c r="M16" s="258" t="s">
        <v>121</v>
      </c>
      <c r="N16" s="255"/>
      <c r="O16" s="252">
        <v>3.1277095199999999E-3</v>
      </c>
      <c r="P16" s="253">
        <f t="shared" si="0"/>
        <v>3.1277095199999999E-3</v>
      </c>
      <c r="Q16" s="254">
        <f t="shared" si="1"/>
        <v>3.1277095199999999E-3</v>
      </c>
      <c r="R16" s="199"/>
      <c r="S16" s="249"/>
      <c r="T16" s="259"/>
      <c r="U16" s="250" t="s">
        <v>405</v>
      </c>
      <c r="V16" s="249"/>
      <c r="W16" s="259"/>
      <c r="X16" s="250" t="str">
        <f>U16</f>
        <v>GEMIS (2019)</v>
      </c>
      <c r="Y16" s="249"/>
      <c r="Z16" s="259"/>
      <c r="AA16" s="250" t="str">
        <f>X16</f>
        <v>GEMIS (2019)</v>
      </c>
      <c r="AB16" s="251"/>
      <c r="AC16" s="3"/>
    </row>
    <row r="17" spans="2:29" x14ac:dyDescent="0.2">
      <c r="B17" s="206"/>
      <c r="C17" s="206"/>
      <c r="D17" s="3"/>
      <c r="E17" s="3"/>
      <c r="F17" s="3"/>
      <c r="G17" s="252"/>
      <c r="H17" s="255"/>
      <c r="I17" s="254"/>
      <c r="J17" s="255"/>
      <c r="K17" s="252"/>
      <c r="L17" s="255"/>
      <c r="M17" s="254"/>
      <c r="N17" s="255"/>
      <c r="O17" s="252"/>
      <c r="P17" s="253"/>
      <c r="Q17" s="254"/>
      <c r="R17" s="199"/>
      <c r="S17" s="249"/>
      <c r="T17" s="3"/>
      <c r="U17" s="250"/>
      <c r="V17" s="249"/>
      <c r="W17" s="3"/>
      <c r="X17" s="250"/>
      <c r="Y17" s="249"/>
      <c r="Z17" s="3"/>
      <c r="AA17" s="250"/>
      <c r="AB17" s="251"/>
      <c r="AC17" s="3"/>
    </row>
    <row r="18" spans="2:29" x14ac:dyDescent="0.2">
      <c r="B18" s="8"/>
      <c r="C18" s="8" t="s">
        <v>69</v>
      </c>
      <c r="D18" s="8"/>
      <c r="E18" s="3"/>
      <c r="F18" s="3"/>
      <c r="G18" s="252"/>
      <c r="H18" s="255"/>
      <c r="I18" s="254"/>
      <c r="J18" s="255"/>
      <c r="K18" s="252"/>
      <c r="L18" s="255"/>
      <c r="M18" s="254"/>
      <c r="N18" s="255"/>
      <c r="O18" s="252"/>
      <c r="P18" s="253"/>
      <c r="Q18" s="254"/>
      <c r="R18" s="199"/>
      <c r="S18" s="249"/>
      <c r="T18" s="3"/>
      <c r="U18" s="250"/>
      <c r="V18" s="249"/>
      <c r="W18" s="3"/>
      <c r="X18" s="250"/>
      <c r="Y18" s="249"/>
      <c r="Z18" s="3"/>
      <c r="AA18" s="250"/>
      <c r="AB18" s="251"/>
      <c r="AC18" s="3"/>
    </row>
    <row r="19" spans="2:29" ht="14.25" x14ac:dyDescent="0.2">
      <c r="B19" s="206"/>
      <c r="C19" s="206"/>
      <c r="D19" s="3" t="s">
        <v>413</v>
      </c>
      <c r="E19" s="3" t="s">
        <v>49</v>
      </c>
      <c r="F19" s="3"/>
      <c r="G19" s="256" t="s">
        <v>121</v>
      </c>
      <c r="H19" s="257" t="s">
        <v>121</v>
      </c>
      <c r="I19" s="258" t="s">
        <v>121</v>
      </c>
      <c r="J19" s="255"/>
      <c r="K19" s="256" t="s">
        <v>121</v>
      </c>
      <c r="L19" s="257" t="s">
        <v>121</v>
      </c>
      <c r="M19" s="258" t="s">
        <v>121</v>
      </c>
      <c r="N19" s="255"/>
      <c r="O19" s="252">
        <v>0.66500000000000004</v>
      </c>
      <c r="P19" s="260">
        <f t="shared" si="0"/>
        <v>0.66500000000000004</v>
      </c>
      <c r="Q19" s="261">
        <f t="shared" si="1"/>
        <v>0.66500000000000004</v>
      </c>
      <c r="R19" s="199"/>
      <c r="S19" s="249"/>
      <c r="T19" s="3"/>
      <c r="U19" s="250" t="s">
        <v>379</v>
      </c>
      <c r="V19" s="249"/>
      <c r="W19" s="3"/>
      <c r="X19" s="250" t="str">
        <f>U19</f>
        <v>EPD-VDZ-20220153-IAG1-DE</v>
      </c>
      <c r="Y19" s="249"/>
      <c r="Z19" s="3"/>
      <c r="AA19" s="250" t="str">
        <f>X19</f>
        <v>EPD-VDZ-20220153-IAG1-DE</v>
      </c>
      <c r="AB19" s="251" t="s">
        <v>399</v>
      </c>
      <c r="AC19" s="3"/>
    </row>
    <row r="20" spans="2:29" ht="14.25" x14ac:dyDescent="0.2">
      <c r="B20" s="206"/>
      <c r="C20" s="206"/>
      <c r="D20" s="3" t="s">
        <v>414</v>
      </c>
      <c r="E20" s="3" t="s">
        <v>49</v>
      </c>
      <c r="F20" s="3"/>
      <c r="G20" s="256" t="s">
        <v>121</v>
      </c>
      <c r="H20" s="257" t="s">
        <v>121</v>
      </c>
      <c r="I20" s="258" t="s">
        <v>121</v>
      </c>
      <c r="J20" s="255"/>
      <c r="K20" s="256" t="s">
        <v>121</v>
      </c>
      <c r="L20" s="257" t="s">
        <v>121</v>
      </c>
      <c r="M20" s="258" t="s">
        <v>121</v>
      </c>
      <c r="N20" s="255"/>
      <c r="O20" s="252">
        <v>0.55300000000000005</v>
      </c>
      <c r="P20" s="260">
        <f t="shared" si="0"/>
        <v>0.55300000000000005</v>
      </c>
      <c r="Q20" s="261">
        <f t="shared" si="1"/>
        <v>0.55300000000000005</v>
      </c>
      <c r="R20" s="199"/>
      <c r="S20" s="249"/>
      <c r="T20" s="3"/>
      <c r="U20" s="250" t="s">
        <v>380</v>
      </c>
      <c r="V20" s="249"/>
      <c r="W20" s="3"/>
      <c r="X20" s="250" t="str">
        <f>U20</f>
        <v>EPD-VDZ-20210336-IAG1-DE</v>
      </c>
      <c r="Y20" s="249"/>
      <c r="Z20" s="3"/>
      <c r="AA20" s="250" t="str">
        <f>X20</f>
        <v>EPD-VDZ-20210336-IAG1-DE</v>
      </c>
      <c r="AB20" s="251" t="s">
        <v>399</v>
      </c>
      <c r="AC20" s="3"/>
    </row>
    <row r="21" spans="2:29" ht="14.25" x14ac:dyDescent="0.2">
      <c r="B21" s="206"/>
      <c r="C21" s="206"/>
      <c r="D21" s="3" t="s">
        <v>415</v>
      </c>
      <c r="E21" s="3" t="s">
        <v>49</v>
      </c>
      <c r="F21" s="3"/>
      <c r="G21" s="256" t="s">
        <v>121</v>
      </c>
      <c r="H21" s="257" t="s">
        <v>121</v>
      </c>
      <c r="I21" s="258" t="s">
        <v>121</v>
      </c>
      <c r="J21" s="255"/>
      <c r="K21" s="256" t="s">
        <v>121</v>
      </c>
      <c r="L21" s="257" t="s">
        <v>121</v>
      </c>
      <c r="M21" s="258" t="s">
        <v>121</v>
      </c>
      <c r="N21" s="255"/>
      <c r="O21" s="252">
        <v>0.84499999999999997</v>
      </c>
      <c r="P21" s="260">
        <f t="shared" si="0"/>
        <v>0.84499999999999997</v>
      </c>
      <c r="Q21" s="261">
        <f t="shared" si="1"/>
        <v>0.84499999999999997</v>
      </c>
      <c r="R21" s="199"/>
      <c r="S21" s="249"/>
      <c r="T21" s="3"/>
      <c r="U21" s="360" t="s">
        <v>461</v>
      </c>
      <c r="V21" s="249"/>
      <c r="W21" s="3"/>
      <c r="X21" s="250" t="str">
        <f>U21</f>
        <v>Dyckerhoff GmbH (2021)</v>
      </c>
      <c r="Y21" s="249"/>
      <c r="Z21" s="3"/>
      <c r="AA21" s="250" t="str">
        <f>X21</f>
        <v>Dyckerhoff GmbH (2021)</v>
      </c>
      <c r="AB21" s="251" t="s">
        <v>399</v>
      </c>
      <c r="AC21" s="3"/>
    </row>
    <row r="22" spans="2:29" x14ac:dyDescent="0.2">
      <c r="B22" s="206"/>
      <c r="C22" s="206"/>
      <c r="D22" s="3" t="s">
        <v>163</v>
      </c>
      <c r="E22" s="3" t="s">
        <v>49</v>
      </c>
      <c r="F22" s="3"/>
      <c r="G22" s="256" t="s">
        <v>189</v>
      </c>
      <c r="H22" s="257" t="s">
        <v>189</v>
      </c>
      <c r="I22" s="258" t="s">
        <v>189</v>
      </c>
      <c r="J22" s="255"/>
      <c r="K22" s="256" t="s">
        <v>189</v>
      </c>
      <c r="L22" s="257" t="s">
        <v>189</v>
      </c>
      <c r="M22" s="258" t="s">
        <v>189</v>
      </c>
      <c r="N22" s="255"/>
      <c r="O22" s="262" t="s">
        <v>189</v>
      </c>
      <c r="P22" s="260" t="s">
        <v>189</v>
      </c>
      <c r="Q22" s="261" t="s">
        <v>189</v>
      </c>
      <c r="R22" s="199"/>
      <c r="S22" s="249"/>
      <c r="T22" s="3"/>
      <c r="U22" s="250"/>
      <c r="V22" s="249"/>
      <c r="W22" s="3"/>
      <c r="X22" s="250"/>
      <c r="Y22" s="249"/>
      <c r="Z22" s="3"/>
      <c r="AA22" s="250"/>
      <c r="AB22" s="251"/>
      <c r="AC22" s="3"/>
    </row>
    <row r="23" spans="2:29" x14ac:dyDescent="0.2">
      <c r="B23" s="206"/>
      <c r="C23" s="206"/>
      <c r="D23" s="3"/>
      <c r="E23" s="3"/>
      <c r="F23" s="3"/>
      <c r="G23" s="256"/>
      <c r="H23" s="257"/>
      <c r="I23" s="258"/>
      <c r="J23" s="255"/>
      <c r="K23" s="256"/>
      <c r="L23" s="257"/>
      <c r="M23" s="258"/>
      <c r="N23" s="255"/>
      <c r="O23" s="262"/>
      <c r="P23" s="260"/>
      <c r="Q23" s="261"/>
      <c r="R23" s="199"/>
      <c r="S23" s="249"/>
      <c r="T23" s="3"/>
      <c r="U23" s="250"/>
      <c r="V23" s="249"/>
      <c r="W23" s="3"/>
      <c r="X23" s="250"/>
      <c r="Y23" s="249"/>
      <c r="Z23" s="3"/>
      <c r="AA23" s="250"/>
      <c r="AB23" s="251"/>
      <c r="AC23" s="3"/>
    </row>
    <row r="24" spans="2:29" x14ac:dyDescent="0.2">
      <c r="B24" s="206"/>
      <c r="C24" s="8" t="s">
        <v>178</v>
      </c>
      <c r="D24" s="3"/>
      <c r="E24" s="3"/>
      <c r="F24" s="3"/>
      <c r="G24" s="256"/>
      <c r="H24" s="257"/>
      <c r="I24" s="258"/>
      <c r="J24" s="255"/>
      <c r="K24" s="256"/>
      <c r="L24" s="257"/>
      <c r="M24" s="258"/>
      <c r="N24" s="255"/>
      <c r="O24" s="262"/>
      <c r="P24" s="260"/>
      <c r="Q24" s="261"/>
      <c r="R24" s="199"/>
      <c r="S24" s="249"/>
      <c r="T24" s="3"/>
      <c r="U24" s="250"/>
      <c r="V24" s="249"/>
      <c r="W24" s="3"/>
      <c r="X24" s="250"/>
      <c r="Y24" s="249"/>
      <c r="Z24" s="3"/>
      <c r="AA24" s="250"/>
      <c r="AB24" s="251"/>
      <c r="AC24" s="3"/>
    </row>
    <row r="25" spans="2:29" x14ac:dyDescent="0.2">
      <c r="B25" s="206"/>
      <c r="C25" s="206"/>
      <c r="D25" s="3" t="s">
        <v>179</v>
      </c>
      <c r="E25" s="3" t="s">
        <v>49</v>
      </c>
      <c r="F25" s="3"/>
      <c r="G25" s="256" t="s">
        <v>121</v>
      </c>
      <c r="H25" s="257" t="s">
        <v>121</v>
      </c>
      <c r="I25" s="258" t="s">
        <v>121</v>
      </c>
      <c r="J25" s="255"/>
      <c r="K25" s="256" t="s">
        <v>121</v>
      </c>
      <c r="L25" s="257" t="s">
        <v>121</v>
      </c>
      <c r="M25" s="258" t="s">
        <v>121</v>
      </c>
      <c r="N25" s="255"/>
      <c r="O25" s="252">
        <v>4.8500000000000001E-3</v>
      </c>
      <c r="P25" s="253">
        <f>O25</f>
        <v>4.8500000000000001E-3</v>
      </c>
      <c r="Q25" s="254">
        <f>O25</f>
        <v>4.8500000000000001E-3</v>
      </c>
      <c r="R25" s="199"/>
      <c r="S25" s="249"/>
      <c r="T25" s="3"/>
      <c r="U25" s="250" t="s">
        <v>411</v>
      </c>
      <c r="V25" s="249"/>
      <c r="W25" s="3"/>
      <c r="X25" s="250" t="str">
        <f>U25</f>
        <v>BAFA (2021 a)</v>
      </c>
      <c r="Y25" s="249"/>
      <c r="Z25" s="3"/>
      <c r="AA25" s="250" t="str">
        <f>X25</f>
        <v>BAFA (2021 a)</v>
      </c>
      <c r="AB25" s="251"/>
      <c r="AC25" s="3"/>
    </row>
    <row r="26" spans="2:29" x14ac:dyDescent="0.2">
      <c r="B26" s="206"/>
      <c r="C26" s="206"/>
      <c r="D26" s="3" t="s">
        <v>180</v>
      </c>
      <c r="E26" s="3" t="s">
        <v>49</v>
      </c>
      <c r="F26" s="3"/>
      <c r="G26" s="256" t="s">
        <v>189</v>
      </c>
      <c r="H26" s="257" t="s">
        <v>189</v>
      </c>
      <c r="I26" s="258" t="s">
        <v>189</v>
      </c>
      <c r="J26" s="255"/>
      <c r="K26" s="256" t="s">
        <v>189</v>
      </c>
      <c r="L26" s="257" t="s">
        <v>189</v>
      </c>
      <c r="M26" s="258" t="s">
        <v>189</v>
      </c>
      <c r="N26" s="255"/>
      <c r="O26" s="262" t="s">
        <v>189</v>
      </c>
      <c r="P26" s="260" t="s">
        <v>189</v>
      </c>
      <c r="Q26" s="261" t="s">
        <v>189</v>
      </c>
      <c r="R26" s="199"/>
      <c r="S26" s="249"/>
      <c r="T26" s="3"/>
      <c r="U26" s="250"/>
      <c r="V26" s="249"/>
      <c r="W26" s="3"/>
      <c r="X26" s="250"/>
      <c r="Y26" s="249"/>
      <c r="Z26" s="3"/>
      <c r="AA26" s="250"/>
      <c r="AB26" s="251"/>
      <c r="AC26" s="3"/>
    </row>
    <row r="27" spans="2:29" x14ac:dyDescent="0.2">
      <c r="B27" s="206"/>
      <c r="C27" s="206"/>
      <c r="D27" s="3" t="s">
        <v>181</v>
      </c>
      <c r="E27" s="3" t="s">
        <v>49</v>
      </c>
      <c r="F27" s="3"/>
      <c r="G27" s="256" t="s">
        <v>189</v>
      </c>
      <c r="H27" s="257" t="s">
        <v>189</v>
      </c>
      <c r="I27" s="258" t="s">
        <v>189</v>
      </c>
      <c r="J27" s="255"/>
      <c r="K27" s="256" t="s">
        <v>189</v>
      </c>
      <c r="L27" s="257" t="s">
        <v>189</v>
      </c>
      <c r="M27" s="258" t="s">
        <v>189</v>
      </c>
      <c r="N27" s="255"/>
      <c r="O27" s="262" t="s">
        <v>189</v>
      </c>
      <c r="P27" s="260" t="s">
        <v>189</v>
      </c>
      <c r="Q27" s="261" t="s">
        <v>189</v>
      </c>
      <c r="R27" s="199"/>
      <c r="S27" s="249"/>
      <c r="T27" s="3"/>
      <c r="U27" s="250"/>
      <c r="V27" s="249"/>
      <c r="W27" s="3"/>
      <c r="X27" s="250"/>
      <c r="Y27" s="249"/>
      <c r="Z27" s="3"/>
      <c r="AA27" s="250"/>
      <c r="AB27" s="251"/>
      <c r="AC27" s="3"/>
    </row>
    <row r="28" spans="2:29" x14ac:dyDescent="0.2">
      <c r="B28" s="206"/>
      <c r="C28" s="206"/>
      <c r="D28" s="3"/>
      <c r="E28" s="3"/>
      <c r="F28" s="3"/>
      <c r="G28" s="256"/>
      <c r="H28" s="257"/>
      <c r="I28" s="258"/>
      <c r="J28" s="255"/>
      <c r="K28" s="256"/>
      <c r="L28" s="257"/>
      <c r="M28" s="258"/>
      <c r="N28" s="255"/>
      <c r="O28" s="262"/>
      <c r="P28" s="260"/>
      <c r="Q28" s="261"/>
      <c r="R28" s="199"/>
      <c r="S28" s="249"/>
      <c r="T28" s="3"/>
      <c r="U28" s="250"/>
      <c r="V28" s="249"/>
      <c r="W28" s="3"/>
      <c r="X28" s="250"/>
      <c r="Y28" s="249"/>
      <c r="Z28" s="3"/>
      <c r="AA28" s="250"/>
      <c r="AB28" s="251"/>
      <c r="AC28" s="3"/>
    </row>
    <row r="29" spans="2:29" x14ac:dyDescent="0.2">
      <c r="B29" s="206"/>
      <c r="C29" s="206"/>
      <c r="D29" s="3" t="s">
        <v>58</v>
      </c>
      <c r="E29" s="3" t="s">
        <v>49</v>
      </c>
      <c r="F29" s="3"/>
      <c r="G29" s="256" t="s">
        <v>121</v>
      </c>
      <c r="H29" s="257" t="s">
        <v>121</v>
      </c>
      <c r="I29" s="258" t="s">
        <v>121</v>
      </c>
      <c r="J29" s="255"/>
      <c r="K29" s="256" t="s">
        <v>121</v>
      </c>
      <c r="L29" s="257" t="s">
        <v>121</v>
      </c>
      <c r="M29" s="258" t="s">
        <v>121</v>
      </c>
      <c r="N29" s="255"/>
      <c r="O29" s="252">
        <f>2.3+30%</f>
        <v>2.5999999999999996</v>
      </c>
      <c r="P29" s="253">
        <f>O29</f>
        <v>2.5999999999999996</v>
      </c>
      <c r="Q29" s="254">
        <f>O29</f>
        <v>2.5999999999999996</v>
      </c>
      <c r="R29" s="199"/>
      <c r="S29" s="249"/>
      <c r="T29" s="3"/>
      <c r="U29" s="250" t="s">
        <v>409</v>
      </c>
      <c r="V29" s="249"/>
      <c r="W29" s="3"/>
      <c r="X29" s="250" t="str">
        <f>U29</f>
        <v>Eurocolour (2022)</v>
      </c>
      <c r="Y29" s="249"/>
      <c r="Z29" s="3"/>
      <c r="AA29" s="250" t="str">
        <f>X29</f>
        <v>Eurocolour (2022)</v>
      </c>
      <c r="AB29" s="263"/>
      <c r="AC29" s="3"/>
    </row>
    <row r="30" spans="2:29" x14ac:dyDescent="0.2">
      <c r="B30" s="206"/>
      <c r="C30" s="206"/>
      <c r="D30" s="3"/>
      <c r="E30" s="3"/>
      <c r="F30" s="3"/>
      <c r="G30" s="256"/>
      <c r="H30" s="257"/>
      <c r="I30" s="258"/>
      <c r="J30" s="255"/>
      <c r="K30" s="256"/>
      <c r="L30" s="257"/>
      <c r="M30" s="258"/>
      <c r="N30" s="255"/>
      <c r="O30" s="262"/>
      <c r="P30" s="260"/>
      <c r="Q30" s="261"/>
      <c r="R30" s="199"/>
      <c r="S30" s="249"/>
      <c r="T30" s="3"/>
      <c r="U30" s="250"/>
      <c r="V30" s="249"/>
      <c r="W30" s="3"/>
      <c r="X30" s="250"/>
      <c r="Y30" s="249"/>
      <c r="Z30" s="3"/>
      <c r="AA30" s="250"/>
      <c r="AB30" s="251"/>
      <c r="AC30" s="3"/>
    </row>
    <row r="31" spans="2:29" x14ac:dyDescent="0.2">
      <c r="B31" s="206"/>
      <c r="C31" s="8" t="s">
        <v>182</v>
      </c>
      <c r="D31" s="3"/>
      <c r="E31" s="3"/>
      <c r="F31" s="3"/>
      <c r="G31" s="256"/>
      <c r="H31" s="257"/>
      <c r="I31" s="258"/>
      <c r="J31" s="255"/>
      <c r="K31" s="256"/>
      <c r="L31" s="257"/>
      <c r="M31" s="258"/>
      <c r="N31" s="255"/>
      <c r="O31" s="262"/>
      <c r="P31" s="260"/>
      <c r="Q31" s="261"/>
      <c r="R31" s="199"/>
      <c r="S31" s="249"/>
      <c r="T31" s="3"/>
      <c r="U31" s="250"/>
      <c r="V31" s="249"/>
      <c r="W31" s="3"/>
      <c r="X31" s="250"/>
      <c r="Y31" s="249"/>
      <c r="Z31" s="3"/>
      <c r="AA31" s="250"/>
      <c r="AB31" s="251"/>
      <c r="AC31" s="3"/>
    </row>
    <row r="32" spans="2:29" x14ac:dyDescent="0.2">
      <c r="B32" s="206"/>
      <c r="C32" s="206"/>
      <c r="D32" s="3" t="s">
        <v>60</v>
      </c>
      <c r="E32" s="3" t="s">
        <v>49</v>
      </c>
      <c r="F32" s="3"/>
      <c r="G32" s="256" t="s">
        <v>121</v>
      </c>
      <c r="H32" s="257" t="s">
        <v>121</v>
      </c>
      <c r="I32" s="258" t="s">
        <v>121</v>
      </c>
      <c r="J32" s="255"/>
      <c r="K32" s="256" t="s">
        <v>121</v>
      </c>
      <c r="L32" s="257" t="s">
        <v>121</v>
      </c>
      <c r="M32" s="258" t="s">
        <v>121</v>
      </c>
      <c r="N32" s="255"/>
      <c r="O32" s="252">
        <v>0.19800000000000001</v>
      </c>
      <c r="P32" s="253">
        <f>O32</f>
        <v>0.19800000000000001</v>
      </c>
      <c r="Q32" s="254">
        <f>O32</f>
        <v>0.19800000000000001</v>
      </c>
      <c r="R32" s="199"/>
      <c r="S32" s="249"/>
      <c r="T32" s="3"/>
      <c r="U32" s="250" t="s">
        <v>470</v>
      </c>
      <c r="V32" s="249"/>
      <c r="W32" s="3"/>
      <c r="X32" s="250" t="str">
        <f>U32</f>
        <v>EPD-Baumineral-021-DE</v>
      </c>
      <c r="Y32" s="249"/>
      <c r="Z32" s="3"/>
      <c r="AA32" s="250" t="str">
        <f>X32</f>
        <v>EPD-Baumineral-021-DE</v>
      </c>
      <c r="AB32" s="251"/>
      <c r="AC32" s="3"/>
    </row>
    <row r="33" spans="2:29" x14ac:dyDescent="0.2">
      <c r="B33" s="206"/>
      <c r="C33" s="206"/>
      <c r="D33" s="3" t="s">
        <v>61</v>
      </c>
      <c r="E33" s="3" t="s">
        <v>49</v>
      </c>
      <c r="F33" s="3"/>
      <c r="G33" s="256" t="s">
        <v>121</v>
      </c>
      <c r="H33" s="257" t="s">
        <v>121</v>
      </c>
      <c r="I33" s="258" t="s">
        <v>121</v>
      </c>
      <c r="J33" s="255"/>
      <c r="K33" s="256" t="s">
        <v>121</v>
      </c>
      <c r="L33" s="257" t="s">
        <v>121</v>
      </c>
      <c r="M33" s="258" t="s">
        <v>121</v>
      </c>
      <c r="N33" s="255"/>
      <c r="O33" s="252">
        <v>4.342E-2</v>
      </c>
      <c r="P33" s="253">
        <f>O33</f>
        <v>4.342E-2</v>
      </c>
      <c r="Q33" s="254">
        <f>O33</f>
        <v>4.342E-2</v>
      </c>
      <c r="R33" s="199"/>
      <c r="S33" s="249"/>
      <c r="T33" s="3"/>
      <c r="U33" s="250" t="s">
        <v>410</v>
      </c>
      <c r="V33" s="249"/>
      <c r="W33" s="3"/>
      <c r="X33" s="250" t="str">
        <f>U33</f>
        <v>BAFA (2021 b)</v>
      </c>
      <c r="Y33" s="249"/>
      <c r="Z33" s="3"/>
      <c r="AA33" s="250" t="str">
        <f>X33</f>
        <v>BAFA (2021 b)</v>
      </c>
      <c r="AB33" s="251"/>
      <c r="AC33" s="3"/>
    </row>
    <row r="34" spans="2:29" x14ac:dyDescent="0.2">
      <c r="B34" s="206"/>
      <c r="C34" s="206"/>
      <c r="D34" s="3" t="s">
        <v>62</v>
      </c>
      <c r="E34" s="3" t="s">
        <v>49</v>
      </c>
      <c r="F34" s="3"/>
      <c r="G34" s="256" t="s">
        <v>121</v>
      </c>
      <c r="H34" s="257" t="s">
        <v>121</v>
      </c>
      <c r="I34" s="258" t="s">
        <v>121</v>
      </c>
      <c r="J34" s="255"/>
      <c r="K34" s="256" t="s">
        <v>121</v>
      </c>
      <c r="L34" s="257" t="s">
        <v>121</v>
      </c>
      <c r="M34" s="258" t="s">
        <v>121</v>
      </c>
      <c r="N34" s="255"/>
      <c r="O34" s="264">
        <v>4.5199999999999997E-2</v>
      </c>
      <c r="P34" s="255">
        <f>O34</f>
        <v>4.5199999999999997E-2</v>
      </c>
      <c r="Q34" s="265">
        <f>O34</f>
        <v>4.5199999999999997E-2</v>
      </c>
      <c r="R34" s="199"/>
      <c r="S34" s="249"/>
      <c r="T34" s="3"/>
      <c r="U34" s="250" t="s">
        <v>406</v>
      </c>
      <c r="V34" s="249"/>
      <c r="W34" s="3"/>
      <c r="X34" s="250" t="str">
        <f>U34</f>
        <v>ProBas (2022 a)</v>
      </c>
      <c r="Y34" s="249"/>
      <c r="Z34" s="3"/>
      <c r="AA34" s="250" t="str">
        <f>X34</f>
        <v>ProBas (2022 a)</v>
      </c>
      <c r="AB34" s="251"/>
      <c r="AC34" s="3"/>
    </row>
    <row r="35" spans="2:29" x14ac:dyDescent="0.2">
      <c r="B35" s="206"/>
      <c r="C35" s="206"/>
      <c r="D35" s="3"/>
      <c r="E35" s="3"/>
      <c r="F35" s="3"/>
      <c r="G35" s="256"/>
      <c r="H35" s="257"/>
      <c r="I35" s="258"/>
      <c r="J35" s="255"/>
      <c r="K35" s="256"/>
      <c r="L35" s="257"/>
      <c r="M35" s="258"/>
      <c r="N35" s="255"/>
      <c r="O35" s="264"/>
      <c r="P35" s="255"/>
      <c r="Q35" s="265"/>
      <c r="R35" s="199"/>
      <c r="S35" s="249"/>
      <c r="T35" s="3"/>
      <c r="U35" s="250"/>
      <c r="V35" s="249"/>
      <c r="W35" s="3"/>
      <c r="X35" s="250"/>
      <c r="Y35" s="249"/>
      <c r="Z35" s="3"/>
      <c r="AA35" s="250"/>
      <c r="AB35" s="251"/>
      <c r="AC35" s="3"/>
    </row>
    <row r="36" spans="2:29" x14ac:dyDescent="0.2">
      <c r="B36" s="8"/>
      <c r="C36" s="8" t="s">
        <v>52</v>
      </c>
      <c r="D36" s="8"/>
      <c r="E36" s="3"/>
      <c r="F36" s="3"/>
      <c r="G36" s="252"/>
      <c r="H36" s="255"/>
      <c r="I36" s="254"/>
      <c r="J36" s="255"/>
      <c r="K36" s="252"/>
      <c r="L36" s="255"/>
      <c r="M36" s="254"/>
      <c r="N36" s="255"/>
      <c r="O36" s="266"/>
      <c r="P36" s="267"/>
      <c r="Q36" s="268"/>
      <c r="R36" s="199"/>
      <c r="S36" s="249"/>
      <c r="T36" s="3"/>
      <c r="U36" s="250"/>
      <c r="V36" s="249"/>
      <c r="W36" s="3"/>
      <c r="X36" s="250"/>
      <c r="Y36" s="249"/>
      <c r="Z36" s="3"/>
      <c r="AA36" s="250"/>
      <c r="AB36" s="251"/>
      <c r="AC36" s="3"/>
    </row>
    <row r="37" spans="2:29" x14ac:dyDescent="0.2">
      <c r="B37" s="269"/>
      <c r="C37" s="269"/>
      <c r="D37" s="270" t="s">
        <v>471</v>
      </c>
      <c r="E37" s="270" t="s">
        <v>49</v>
      </c>
      <c r="F37" s="270"/>
      <c r="G37" s="271" t="s">
        <v>121</v>
      </c>
      <c r="H37" s="272" t="s">
        <v>121</v>
      </c>
      <c r="I37" s="273" t="s">
        <v>121</v>
      </c>
      <c r="J37" s="274"/>
      <c r="K37" s="271" t="s">
        <v>121</v>
      </c>
      <c r="L37" s="272" t="s">
        <v>121</v>
      </c>
      <c r="M37" s="273" t="s">
        <v>121</v>
      </c>
      <c r="N37" s="274"/>
      <c r="O37" s="275">
        <v>1.53</v>
      </c>
      <c r="P37" s="274">
        <f t="shared" si="0"/>
        <v>1.53</v>
      </c>
      <c r="Q37" s="276">
        <f t="shared" si="1"/>
        <v>1.53</v>
      </c>
      <c r="R37" s="199"/>
      <c r="S37" s="249"/>
      <c r="T37" s="3"/>
      <c r="U37" s="250" t="s">
        <v>394</v>
      </c>
      <c r="V37" s="249"/>
      <c r="W37" s="3"/>
      <c r="X37" s="250" t="str">
        <f>U37</f>
        <v>Institut Bauen und Umwelt e. V. - EPD</v>
      </c>
      <c r="Y37" s="249"/>
      <c r="Z37" s="3"/>
      <c r="AA37" s="250" t="str">
        <f>X37</f>
        <v>Institut Bauen und Umwelt e. V. - EPD</v>
      </c>
      <c r="AB37" s="251"/>
      <c r="AC37" s="3"/>
    </row>
    <row r="38" spans="2:29" x14ac:dyDescent="0.2">
      <c r="B38" s="269"/>
      <c r="C38" s="269"/>
      <c r="D38" s="270" t="s">
        <v>472</v>
      </c>
      <c r="E38" s="270" t="s">
        <v>49</v>
      </c>
      <c r="F38" s="270"/>
      <c r="G38" s="271" t="s">
        <v>121</v>
      </c>
      <c r="H38" s="272" t="s">
        <v>121</v>
      </c>
      <c r="I38" s="273" t="s">
        <v>121</v>
      </c>
      <c r="J38" s="274"/>
      <c r="K38" s="271" t="s">
        <v>121</v>
      </c>
      <c r="L38" s="272" t="s">
        <v>121</v>
      </c>
      <c r="M38" s="273" t="s">
        <v>121</v>
      </c>
      <c r="N38" s="274"/>
      <c r="O38" s="275">
        <v>0.439</v>
      </c>
      <c r="P38" s="274">
        <f t="shared" si="0"/>
        <v>0.439</v>
      </c>
      <c r="Q38" s="276">
        <f t="shared" si="1"/>
        <v>0.439</v>
      </c>
      <c r="R38" s="199"/>
      <c r="S38" s="249"/>
      <c r="T38" s="3"/>
      <c r="U38" s="250" t="s">
        <v>394</v>
      </c>
      <c r="V38" s="249"/>
      <c r="W38" s="3"/>
      <c r="X38" s="250" t="str">
        <f>U38</f>
        <v>Institut Bauen und Umwelt e. V. - EPD</v>
      </c>
      <c r="Y38" s="249"/>
      <c r="Z38" s="3"/>
      <c r="AA38" s="250" t="str">
        <f>X38</f>
        <v>Institut Bauen und Umwelt e. V. - EPD</v>
      </c>
      <c r="AB38" s="251"/>
      <c r="AC38" s="3"/>
    </row>
    <row r="39" spans="2:29" x14ac:dyDescent="0.2">
      <c r="B39" s="269"/>
      <c r="C39" s="269"/>
      <c r="D39" s="270" t="s">
        <v>473</v>
      </c>
      <c r="E39" s="270" t="s">
        <v>49</v>
      </c>
      <c r="F39" s="270"/>
      <c r="G39" s="271" t="s">
        <v>121</v>
      </c>
      <c r="H39" s="272" t="s">
        <v>121</v>
      </c>
      <c r="I39" s="273" t="s">
        <v>121</v>
      </c>
      <c r="J39" s="274"/>
      <c r="K39" s="271" t="s">
        <v>121</v>
      </c>
      <c r="L39" s="272" t="s">
        <v>121</v>
      </c>
      <c r="M39" s="273" t="s">
        <v>121</v>
      </c>
      <c r="N39" s="274"/>
      <c r="O39" s="275">
        <v>1.23</v>
      </c>
      <c r="P39" s="274">
        <f t="shared" si="0"/>
        <v>1.23</v>
      </c>
      <c r="Q39" s="276">
        <f t="shared" si="1"/>
        <v>1.23</v>
      </c>
      <c r="R39" s="199"/>
      <c r="S39" s="249"/>
      <c r="T39" s="3"/>
      <c r="U39" s="250" t="s">
        <v>394</v>
      </c>
      <c r="V39" s="249"/>
      <c r="W39" s="3"/>
      <c r="X39" s="250" t="str">
        <f>U39</f>
        <v>Institut Bauen und Umwelt e. V. - EPD</v>
      </c>
      <c r="Y39" s="249"/>
      <c r="Z39" s="3"/>
      <c r="AA39" s="250" t="str">
        <f>X39</f>
        <v>Institut Bauen und Umwelt e. V. - EPD</v>
      </c>
      <c r="AB39" s="251"/>
      <c r="AC39" s="3"/>
    </row>
    <row r="40" spans="2:29" x14ac:dyDescent="0.2">
      <c r="B40" s="269"/>
      <c r="C40" s="269"/>
      <c r="D40" s="270" t="s">
        <v>474</v>
      </c>
      <c r="E40" s="270" t="s">
        <v>49</v>
      </c>
      <c r="F40" s="270"/>
      <c r="G40" s="271" t="s">
        <v>121</v>
      </c>
      <c r="H40" s="272" t="s">
        <v>121</v>
      </c>
      <c r="I40" s="273" t="s">
        <v>121</v>
      </c>
      <c r="J40" s="274"/>
      <c r="K40" s="271" t="s">
        <v>121</v>
      </c>
      <c r="L40" s="272" t="s">
        <v>121</v>
      </c>
      <c r="M40" s="273" t="s">
        <v>121</v>
      </c>
      <c r="N40" s="274"/>
      <c r="O40" s="275">
        <v>2.67</v>
      </c>
      <c r="P40" s="274">
        <f t="shared" si="0"/>
        <v>2.67</v>
      </c>
      <c r="Q40" s="276">
        <f t="shared" si="1"/>
        <v>2.67</v>
      </c>
      <c r="R40" s="199"/>
      <c r="S40" s="249"/>
      <c r="T40" s="3"/>
      <c r="U40" s="250" t="s">
        <v>394</v>
      </c>
      <c r="V40" s="249"/>
      <c r="W40" s="3"/>
      <c r="X40" s="250" t="str">
        <f>U40</f>
        <v>Institut Bauen und Umwelt e. V. - EPD</v>
      </c>
      <c r="Y40" s="249"/>
      <c r="Z40" s="3"/>
      <c r="AA40" s="250" t="str">
        <f>X40</f>
        <v>Institut Bauen und Umwelt e. V. - EPD</v>
      </c>
      <c r="AB40" s="251"/>
      <c r="AC40" s="3"/>
    </row>
    <row r="41" spans="2:29" x14ac:dyDescent="0.2">
      <c r="B41" s="213"/>
      <c r="C41" s="213"/>
      <c r="D41" s="212"/>
      <c r="E41" s="212"/>
      <c r="F41" s="3"/>
      <c r="G41" s="277"/>
      <c r="H41" s="255"/>
      <c r="I41" s="278"/>
      <c r="J41" s="255"/>
      <c r="K41" s="277"/>
      <c r="L41" s="255"/>
      <c r="M41" s="278"/>
      <c r="N41" s="255"/>
      <c r="O41" s="266"/>
      <c r="P41" s="267"/>
      <c r="Q41" s="268"/>
      <c r="R41" s="199"/>
      <c r="S41" s="249"/>
      <c r="T41" s="3"/>
      <c r="U41" s="250"/>
      <c r="V41" s="249"/>
      <c r="W41" s="3"/>
      <c r="X41" s="250"/>
      <c r="Y41" s="249"/>
      <c r="Z41" s="3"/>
      <c r="AA41" s="250"/>
      <c r="AB41" s="251"/>
      <c r="AC41" s="3"/>
    </row>
    <row r="42" spans="2:29" ht="14.25" x14ac:dyDescent="0.2">
      <c r="B42" s="206"/>
      <c r="C42" s="206"/>
      <c r="D42" s="270" t="s">
        <v>416</v>
      </c>
      <c r="E42" s="3" t="s">
        <v>49</v>
      </c>
      <c r="F42" s="3"/>
      <c r="G42" s="256" t="s">
        <v>121</v>
      </c>
      <c r="H42" s="257" t="s">
        <v>121</v>
      </c>
      <c r="I42" s="258" t="s">
        <v>121</v>
      </c>
      <c r="J42" s="255"/>
      <c r="K42" s="256" t="s">
        <v>121</v>
      </c>
      <c r="L42" s="257" t="s">
        <v>121</v>
      </c>
      <c r="M42" s="258" t="s">
        <v>121</v>
      </c>
      <c r="N42" s="255"/>
      <c r="O42" s="256">
        <v>0</v>
      </c>
      <c r="P42" s="257">
        <v>0</v>
      </c>
      <c r="Q42" s="258">
        <v>0</v>
      </c>
      <c r="R42" s="199"/>
      <c r="S42" s="249"/>
      <c r="T42" s="3"/>
      <c r="U42" s="250"/>
      <c r="V42" s="249"/>
      <c r="W42" s="3"/>
      <c r="X42" s="250"/>
      <c r="Y42" s="249"/>
      <c r="Z42" s="3"/>
      <c r="AA42" s="250"/>
      <c r="AB42" s="251"/>
      <c r="AC42" s="3"/>
    </row>
    <row r="43" spans="2:29" x14ac:dyDescent="0.2">
      <c r="B43" s="206"/>
      <c r="C43" s="206"/>
      <c r="D43" s="3" t="s">
        <v>65</v>
      </c>
      <c r="E43" s="3" t="s">
        <v>66</v>
      </c>
      <c r="F43" s="3"/>
      <c r="G43" s="256" t="s">
        <v>121</v>
      </c>
      <c r="H43" s="257" t="s">
        <v>121</v>
      </c>
      <c r="I43" s="258" t="s">
        <v>121</v>
      </c>
      <c r="J43" s="255"/>
      <c r="K43" s="256" t="s">
        <v>121</v>
      </c>
      <c r="L43" s="257" t="s">
        <v>121</v>
      </c>
      <c r="M43" s="258" t="s">
        <v>121</v>
      </c>
      <c r="N43" s="255"/>
      <c r="O43" s="252">
        <v>2.72E-4</v>
      </c>
      <c r="P43" s="253">
        <f>O43</f>
        <v>2.72E-4</v>
      </c>
      <c r="Q43" s="254">
        <f>O43</f>
        <v>2.72E-4</v>
      </c>
      <c r="R43" s="199"/>
      <c r="S43" s="249"/>
      <c r="T43" s="3"/>
      <c r="U43" s="250" t="s">
        <v>404</v>
      </c>
      <c r="V43" s="249"/>
      <c r="W43" s="3"/>
      <c r="X43" s="250" t="str">
        <f>U43</f>
        <v>DEFRA (2021 e)</v>
      </c>
      <c r="Y43" s="249"/>
      <c r="Z43" s="3"/>
      <c r="AA43" s="250" t="str">
        <f>X43</f>
        <v>DEFRA (2021 e)</v>
      </c>
      <c r="AB43" s="251"/>
      <c r="AC43" s="3"/>
    </row>
    <row r="44" spans="2:29" x14ac:dyDescent="0.2">
      <c r="B44" s="213"/>
      <c r="C44" s="213"/>
      <c r="D44" s="212"/>
      <c r="E44" s="212"/>
      <c r="F44" s="3"/>
      <c r="G44" s="277"/>
      <c r="H44" s="255"/>
      <c r="I44" s="278"/>
      <c r="J44" s="255"/>
      <c r="K44" s="277"/>
      <c r="L44" s="255"/>
      <c r="M44" s="278"/>
      <c r="N44" s="255"/>
      <c r="O44" s="266"/>
      <c r="P44" s="267"/>
      <c r="Q44" s="268"/>
      <c r="R44" s="199"/>
      <c r="S44" s="249"/>
      <c r="T44" s="3"/>
      <c r="U44" s="250"/>
      <c r="V44" s="249"/>
      <c r="W44" s="3"/>
      <c r="X44" s="250"/>
      <c r="Y44" s="249"/>
      <c r="Z44" s="3"/>
      <c r="AA44" s="250"/>
      <c r="AB44" s="251"/>
      <c r="AC44" s="3"/>
    </row>
    <row r="45" spans="2:29" x14ac:dyDescent="0.2">
      <c r="B45" s="213"/>
      <c r="C45" s="8" t="s">
        <v>183</v>
      </c>
      <c r="D45" s="212"/>
      <c r="E45" s="212"/>
      <c r="F45" s="3"/>
      <c r="G45" s="277"/>
      <c r="H45" s="255"/>
      <c r="I45" s="278"/>
      <c r="J45" s="255"/>
      <c r="K45" s="277"/>
      <c r="L45" s="255"/>
      <c r="M45" s="278"/>
      <c r="N45" s="255"/>
      <c r="O45" s="266"/>
      <c r="P45" s="267"/>
      <c r="Q45" s="268"/>
      <c r="R45" s="199"/>
      <c r="S45" s="249"/>
      <c r="T45" s="3"/>
      <c r="U45" s="250"/>
      <c r="V45" s="249"/>
      <c r="W45" s="3"/>
      <c r="X45" s="250"/>
      <c r="Y45" s="249"/>
      <c r="Z45" s="3"/>
      <c r="AA45" s="250"/>
      <c r="AB45" s="251"/>
      <c r="AC45" s="3"/>
    </row>
    <row r="46" spans="2:29" x14ac:dyDescent="0.2">
      <c r="B46" s="213"/>
      <c r="C46" s="213"/>
      <c r="D46" s="3" t="s">
        <v>184</v>
      </c>
      <c r="E46" s="3" t="s">
        <v>49</v>
      </c>
      <c r="F46" s="3"/>
      <c r="G46" s="256" t="s">
        <v>121</v>
      </c>
      <c r="H46" s="257" t="s">
        <v>121</v>
      </c>
      <c r="I46" s="258" t="s">
        <v>121</v>
      </c>
      <c r="J46" s="255"/>
      <c r="K46" s="256" t="s">
        <v>121</v>
      </c>
      <c r="L46" s="257" t="s">
        <v>121</v>
      </c>
      <c r="M46" s="258" t="s">
        <v>121</v>
      </c>
      <c r="N46" s="255"/>
      <c r="O46" s="256" t="s">
        <v>189</v>
      </c>
      <c r="P46" s="257" t="s">
        <v>189</v>
      </c>
      <c r="Q46" s="258" t="s">
        <v>189</v>
      </c>
      <c r="R46" s="199"/>
      <c r="S46" s="249"/>
      <c r="T46" s="3"/>
      <c r="U46" s="250"/>
      <c r="V46" s="249"/>
      <c r="W46" s="3"/>
      <c r="X46" s="250"/>
      <c r="Y46" s="249"/>
      <c r="Z46" s="3"/>
      <c r="AA46" s="250"/>
      <c r="AB46" s="251"/>
      <c r="AC46" s="3"/>
    </row>
    <row r="47" spans="2:29" x14ac:dyDescent="0.2">
      <c r="B47" s="206"/>
      <c r="C47" s="206"/>
      <c r="D47" s="3" t="s">
        <v>63</v>
      </c>
      <c r="E47" s="3" t="s">
        <v>49</v>
      </c>
      <c r="F47" s="3"/>
      <c r="G47" s="256" t="s">
        <v>121</v>
      </c>
      <c r="H47" s="257" t="s">
        <v>121</v>
      </c>
      <c r="I47" s="258" t="s">
        <v>121</v>
      </c>
      <c r="J47" s="255"/>
      <c r="K47" s="256" t="s">
        <v>121</v>
      </c>
      <c r="L47" s="257" t="s">
        <v>121</v>
      </c>
      <c r="M47" s="258" t="s">
        <v>121</v>
      </c>
      <c r="N47" s="255"/>
      <c r="O47" s="252">
        <v>2.012</v>
      </c>
      <c r="P47" s="253">
        <f>O47</f>
        <v>2.012</v>
      </c>
      <c r="Q47" s="254">
        <f>O47</f>
        <v>2.012</v>
      </c>
      <c r="R47" s="199"/>
      <c r="S47" s="249"/>
      <c r="T47" s="3"/>
      <c r="U47" s="250" t="s">
        <v>419</v>
      </c>
      <c r="V47" s="249"/>
      <c r="W47" s="3"/>
      <c r="X47" s="250" t="str">
        <f>U47</f>
        <v>Ecoinvent (2022 b)</v>
      </c>
      <c r="Y47" s="249"/>
      <c r="Z47" s="3"/>
      <c r="AA47" s="250" t="str">
        <f>X47</f>
        <v>Ecoinvent (2022 b)</v>
      </c>
      <c r="AB47" s="251"/>
      <c r="AC47" s="3"/>
    </row>
    <row r="48" spans="2:29" x14ac:dyDescent="0.2">
      <c r="B48" s="213"/>
      <c r="C48" s="213"/>
      <c r="D48" s="3" t="s">
        <v>185</v>
      </c>
      <c r="E48" s="3" t="s">
        <v>49</v>
      </c>
      <c r="F48" s="3"/>
      <c r="G48" s="256" t="s">
        <v>121</v>
      </c>
      <c r="H48" s="257" t="s">
        <v>121</v>
      </c>
      <c r="I48" s="258" t="s">
        <v>121</v>
      </c>
      <c r="J48" s="255"/>
      <c r="K48" s="256" t="s">
        <v>121</v>
      </c>
      <c r="L48" s="257" t="s">
        <v>121</v>
      </c>
      <c r="M48" s="258" t="s">
        <v>121</v>
      </c>
      <c r="N48" s="255"/>
      <c r="O48" s="256" t="s">
        <v>189</v>
      </c>
      <c r="P48" s="257" t="s">
        <v>189</v>
      </c>
      <c r="Q48" s="258" t="s">
        <v>189</v>
      </c>
      <c r="R48" s="199"/>
      <c r="S48" s="249"/>
      <c r="T48" s="3"/>
      <c r="U48" s="250"/>
      <c r="V48" s="249"/>
      <c r="W48" s="3"/>
      <c r="X48" s="250"/>
      <c r="Y48" s="249"/>
      <c r="Z48" s="3"/>
      <c r="AA48" s="250"/>
      <c r="AB48" s="251"/>
      <c r="AC48" s="3"/>
    </row>
    <row r="49" spans="2:29" x14ac:dyDescent="0.2">
      <c r="B49" s="213"/>
      <c r="C49" s="213"/>
      <c r="D49" s="212"/>
      <c r="E49" s="212"/>
      <c r="F49" s="3"/>
      <c r="G49" s="277"/>
      <c r="H49" s="255"/>
      <c r="I49" s="278"/>
      <c r="J49" s="255"/>
      <c r="K49" s="277"/>
      <c r="L49" s="255"/>
      <c r="M49" s="278"/>
      <c r="N49" s="255"/>
      <c r="O49" s="266"/>
      <c r="P49" s="267"/>
      <c r="Q49" s="268"/>
      <c r="R49" s="199"/>
      <c r="S49" s="249"/>
      <c r="T49" s="3"/>
      <c r="U49" s="250"/>
      <c r="V49" s="249"/>
      <c r="W49" s="3"/>
      <c r="X49" s="250"/>
      <c r="Y49" s="249"/>
      <c r="Z49" s="3"/>
      <c r="AA49" s="250"/>
      <c r="AB49" s="251"/>
      <c r="AC49" s="3"/>
    </row>
    <row r="50" spans="2:29" x14ac:dyDescent="0.2">
      <c r="B50" s="213"/>
      <c r="C50" s="8" t="s">
        <v>186</v>
      </c>
      <c r="D50" s="212"/>
      <c r="E50" s="212"/>
      <c r="F50" s="3"/>
      <c r="G50" s="277"/>
      <c r="H50" s="255"/>
      <c r="I50" s="278"/>
      <c r="J50" s="255"/>
      <c r="K50" s="277"/>
      <c r="L50" s="255"/>
      <c r="M50" s="278"/>
      <c r="N50" s="255"/>
      <c r="O50" s="266"/>
      <c r="P50" s="267"/>
      <c r="Q50" s="268"/>
      <c r="R50" s="199"/>
      <c r="S50" s="249"/>
      <c r="T50" s="3"/>
      <c r="U50" s="250"/>
      <c r="V50" s="249"/>
      <c r="W50" s="3"/>
      <c r="X50" s="250"/>
      <c r="Y50" s="249"/>
      <c r="Z50" s="3"/>
      <c r="AA50" s="250"/>
      <c r="AB50" s="251"/>
      <c r="AC50" s="3"/>
    </row>
    <row r="51" spans="2:29" x14ac:dyDescent="0.2">
      <c r="B51" s="206"/>
      <c r="C51" s="206"/>
      <c r="D51" s="3" t="s">
        <v>67</v>
      </c>
      <c r="E51" s="3" t="s">
        <v>49</v>
      </c>
      <c r="F51" s="3"/>
      <c r="G51" s="256" t="s">
        <v>121</v>
      </c>
      <c r="H51" s="257" t="s">
        <v>121</v>
      </c>
      <c r="I51" s="258" t="s">
        <v>121</v>
      </c>
      <c r="J51" s="255"/>
      <c r="K51" s="256" t="s">
        <v>121</v>
      </c>
      <c r="L51" s="257" t="s">
        <v>121</v>
      </c>
      <c r="M51" s="258" t="s">
        <v>121</v>
      </c>
      <c r="N51" s="255"/>
      <c r="O51" s="264">
        <v>1.5</v>
      </c>
      <c r="P51" s="255">
        <f>O51</f>
        <v>1.5</v>
      </c>
      <c r="Q51" s="265">
        <f>O51</f>
        <v>1.5</v>
      </c>
      <c r="R51" s="199"/>
      <c r="S51" s="249"/>
      <c r="T51" s="3"/>
      <c r="U51" s="250" t="s">
        <v>407</v>
      </c>
      <c r="V51" s="249"/>
      <c r="W51" s="3"/>
      <c r="X51" s="250" t="str">
        <f>U51</f>
        <v>ProBas (2022 b)</v>
      </c>
      <c r="Y51" s="249"/>
      <c r="Z51" s="3"/>
      <c r="AA51" s="250" t="str">
        <f>X51</f>
        <v>ProBas (2022 b)</v>
      </c>
      <c r="AB51" s="251"/>
      <c r="AC51" s="3"/>
    </row>
    <row r="52" spans="2:29" x14ac:dyDescent="0.2">
      <c r="B52" s="206"/>
      <c r="C52" s="206"/>
      <c r="D52" s="3" t="s">
        <v>188</v>
      </c>
      <c r="E52" s="3" t="s">
        <v>49</v>
      </c>
      <c r="F52" s="3"/>
      <c r="G52" s="256" t="s">
        <v>189</v>
      </c>
      <c r="H52" s="257" t="s">
        <v>189</v>
      </c>
      <c r="I52" s="258" t="s">
        <v>189</v>
      </c>
      <c r="J52" s="255"/>
      <c r="K52" s="256" t="s">
        <v>189</v>
      </c>
      <c r="L52" s="257" t="s">
        <v>189</v>
      </c>
      <c r="M52" s="258" t="s">
        <v>189</v>
      </c>
      <c r="N52" s="255"/>
      <c r="O52" s="264" t="s">
        <v>189</v>
      </c>
      <c r="P52" s="255" t="s">
        <v>189</v>
      </c>
      <c r="Q52" s="265" t="s">
        <v>189</v>
      </c>
      <c r="R52" s="199"/>
      <c r="S52" s="249"/>
      <c r="T52" s="3"/>
      <c r="U52" s="250"/>
      <c r="V52" s="249"/>
      <c r="W52" s="3"/>
      <c r="X52" s="250"/>
      <c r="Y52" s="249"/>
      <c r="Z52" s="3"/>
      <c r="AA52" s="250"/>
      <c r="AB52" s="251"/>
      <c r="AC52" s="3"/>
    </row>
    <row r="53" spans="2:29" x14ac:dyDescent="0.2">
      <c r="B53" s="206"/>
      <c r="C53" s="206"/>
      <c r="D53" s="3" t="s">
        <v>187</v>
      </c>
      <c r="E53" s="3" t="s">
        <v>49</v>
      </c>
      <c r="F53" s="3"/>
      <c r="G53" s="256" t="s">
        <v>189</v>
      </c>
      <c r="H53" s="257" t="s">
        <v>189</v>
      </c>
      <c r="I53" s="258" t="s">
        <v>189</v>
      </c>
      <c r="J53" s="255"/>
      <c r="K53" s="256" t="s">
        <v>189</v>
      </c>
      <c r="L53" s="257" t="s">
        <v>189</v>
      </c>
      <c r="M53" s="258" t="s">
        <v>189</v>
      </c>
      <c r="N53" s="255"/>
      <c r="O53" s="264" t="s">
        <v>189</v>
      </c>
      <c r="P53" s="255" t="s">
        <v>189</v>
      </c>
      <c r="Q53" s="265" t="s">
        <v>189</v>
      </c>
      <c r="R53" s="199"/>
      <c r="S53" s="249"/>
      <c r="T53" s="3"/>
      <c r="U53" s="250"/>
      <c r="V53" s="249"/>
      <c r="W53" s="3"/>
      <c r="X53" s="250"/>
      <c r="Y53" s="249"/>
      <c r="Z53" s="3"/>
      <c r="AA53" s="250"/>
      <c r="AB53" s="251"/>
      <c r="AC53" s="3"/>
    </row>
    <row r="54" spans="2:29" x14ac:dyDescent="0.2">
      <c r="B54" s="206"/>
      <c r="C54" s="206"/>
      <c r="D54" s="3"/>
      <c r="E54" s="3"/>
      <c r="F54" s="3"/>
      <c r="G54" s="252"/>
      <c r="H54" s="255"/>
      <c r="I54" s="254"/>
      <c r="J54" s="255"/>
      <c r="K54" s="252"/>
      <c r="L54" s="255"/>
      <c r="M54" s="254"/>
      <c r="N54" s="255"/>
      <c r="O54" s="252"/>
      <c r="P54" s="253"/>
      <c r="Q54" s="254"/>
      <c r="R54" s="199"/>
      <c r="S54" s="249"/>
      <c r="T54" s="3"/>
      <c r="U54" s="250"/>
      <c r="V54" s="249"/>
      <c r="W54" s="3"/>
      <c r="X54" s="250"/>
      <c r="Y54" s="249"/>
      <c r="Z54" s="3"/>
      <c r="AA54" s="250"/>
      <c r="AB54" s="251"/>
      <c r="AC54" s="3"/>
    </row>
    <row r="55" spans="2:29" x14ac:dyDescent="0.2">
      <c r="B55" s="206"/>
      <c r="C55" s="206"/>
      <c r="D55" s="3" t="s">
        <v>64</v>
      </c>
      <c r="E55" s="3" t="s">
        <v>49</v>
      </c>
      <c r="F55" s="3"/>
      <c r="G55" s="256" t="s">
        <v>121</v>
      </c>
      <c r="H55" s="257" t="s">
        <v>121</v>
      </c>
      <c r="I55" s="258" t="s">
        <v>121</v>
      </c>
      <c r="J55" s="255"/>
      <c r="K55" s="256" t="s">
        <v>121</v>
      </c>
      <c r="L55" s="257" t="s">
        <v>121</v>
      </c>
      <c r="M55" s="258" t="s">
        <v>121</v>
      </c>
      <c r="N55" s="255"/>
      <c r="O55" s="252">
        <v>0.80600000000000005</v>
      </c>
      <c r="P55" s="253">
        <f t="shared" si="0"/>
        <v>0.80600000000000005</v>
      </c>
      <c r="Q55" s="254">
        <f t="shared" si="1"/>
        <v>0.80600000000000005</v>
      </c>
      <c r="R55" s="199"/>
      <c r="S55" s="249"/>
      <c r="T55" s="3"/>
      <c r="U55" s="250" t="s">
        <v>408</v>
      </c>
      <c r="V55" s="249"/>
      <c r="W55" s="3"/>
      <c r="X55" s="250" t="str">
        <f>U55</f>
        <v>ProBas (2022 c)</v>
      </c>
      <c r="Y55" s="249"/>
      <c r="Z55" s="3"/>
      <c r="AA55" s="250" t="str">
        <f>X55</f>
        <v>ProBas (2022 c)</v>
      </c>
      <c r="AB55" s="251"/>
      <c r="AC55" s="3"/>
    </row>
    <row r="56" spans="2:29" x14ac:dyDescent="0.2">
      <c r="B56" s="206"/>
      <c r="C56" s="206"/>
      <c r="D56" s="3"/>
      <c r="E56" s="3"/>
      <c r="F56" s="3"/>
      <c r="G56" s="252"/>
      <c r="H56" s="255"/>
      <c r="I56" s="254"/>
      <c r="J56" s="255"/>
      <c r="K56" s="252"/>
      <c r="L56" s="255"/>
      <c r="M56" s="254"/>
      <c r="N56" s="255"/>
      <c r="O56" s="252"/>
      <c r="P56" s="255"/>
      <c r="Q56" s="246"/>
      <c r="R56" s="199"/>
      <c r="S56" s="249"/>
      <c r="T56" s="3"/>
      <c r="U56" s="250"/>
      <c r="V56" s="249"/>
      <c r="W56" s="3"/>
      <c r="X56" s="250"/>
      <c r="Y56" s="249"/>
      <c r="Z56" s="3"/>
      <c r="AA56" s="250"/>
      <c r="AB56" s="251"/>
      <c r="AC56" s="3"/>
    </row>
    <row r="57" spans="2:29" ht="15" x14ac:dyDescent="0.25">
      <c r="B57" s="3"/>
      <c r="C57" s="236" t="s">
        <v>105</v>
      </c>
      <c r="D57" s="7"/>
      <c r="E57" s="3"/>
      <c r="F57" s="3"/>
      <c r="G57" s="264"/>
      <c r="H57" s="255"/>
      <c r="I57" s="265"/>
      <c r="J57" s="255"/>
      <c r="K57" s="264"/>
      <c r="L57" s="255"/>
      <c r="M57" s="265"/>
      <c r="N57" s="255"/>
      <c r="O57" s="264"/>
      <c r="P57" s="255"/>
      <c r="Q57" s="246"/>
      <c r="R57" s="199"/>
      <c r="S57" s="249"/>
      <c r="T57" s="3"/>
      <c r="U57" s="250"/>
      <c r="V57" s="249"/>
      <c r="W57" s="3"/>
      <c r="X57" s="250"/>
      <c r="Y57" s="249"/>
      <c r="Z57" s="3"/>
      <c r="AA57" s="250"/>
      <c r="AB57" s="251"/>
      <c r="AC57" s="3"/>
    </row>
    <row r="58" spans="2:29" ht="14.25" x14ac:dyDescent="0.2">
      <c r="B58" s="3"/>
      <c r="C58" s="7"/>
      <c r="D58" s="7" t="s">
        <v>139</v>
      </c>
      <c r="E58" s="3" t="s">
        <v>43</v>
      </c>
      <c r="F58" s="3"/>
      <c r="G58" s="256" t="s">
        <v>121</v>
      </c>
      <c r="H58" s="257" t="s">
        <v>121</v>
      </c>
      <c r="I58" s="258" t="s">
        <v>121</v>
      </c>
      <c r="J58" s="255"/>
      <c r="K58" s="279">
        <v>0</v>
      </c>
      <c r="L58" s="280">
        <v>0</v>
      </c>
      <c r="M58" s="281">
        <v>0</v>
      </c>
      <c r="N58" s="255"/>
      <c r="O58" s="264">
        <v>4.0790000000000001E-5</v>
      </c>
      <c r="P58" s="255">
        <f>O58</f>
        <v>4.0790000000000001E-5</v>
      </c>
      <c r="Q58" s="282">
        <f>O58</f>
        <v>4.0790000000000001E-5</v>
      </c>
      <c r="R58" s="199"/>
      <c r="S58" s="249"/>
      <c r="T58" s="283"/>
      <c r="U58" s="284" t="s">
        <v>412</v>
      </c>
      <c r="V58" s="249"/>
      <c r="W58" s="283"/>
      <c r="X58" s="284" t="str">
        <f>U58</f>
        <v>FutureCamp (2022)</v>
      </c>
      <c r="Y58" s="249"/>
      <c r="Z58" s="283"/>
      <c r="AA58" s="284" t="str">
        <f>X58</f>
        <v>FutureCamp (2022)</v>
      </c>
      <c r="AB58" s="251"/>
      <c r="AC58" s="3"/>
    </row>
    <row r="59" spans="2:29" ht="14.25" x14ac:dyDescent="0.2">
      <c r="B59" s="3"/>
      <c r="C59" s="7"/>
      <c r="D59" s="7" t="s">
        <v>142</v>
      </c>
      <c r="E59" s="3" t="s">
        <v>43</v>
      </c>
      <c r="F59" s="3"/>
      <c r="G59" s="256" t="s">
        <v>121</v>
      </c>
      <c r="H59" s="257" t="s">
        <v>121</v>
      </c>
      <c r="I59" s="258" t="s">
        <v>121</v>
      </c>
      <c r="J59" s="255"/>
      <c r="K59" s="279">
        <v>0</v>
      </c>
      <c r="L59" s="280">
        <v>0</v>
      </c>
      <c r="M59" s="281">
        <v>0</v>
      </c>
      <c r="N59" s="255"/>
      <c r="O59" s="264">
        <v>5.5713999999999995E-5</v>
      </c>
      <c r="P59" s="255">
        <f>O59</f>
        <v>5.5713999999999995E-5</v>
      </c>
      <c r="Q59" s="282">
        <f>O59</f>
        <v>5.5713999999999995E-5</v>
      </c>
      <c r="R59" s="199"/>
      <c r="S59" s="249"/>
      <c r="T59" s="3"/>
      <c r="U59" s="285" t="s">
        <v>412</v>
      </c>
      <c r="V59" s="249"/>
      <c r="W59" s="3"/>
      <c r="X59" s="284" t="str">
        <f>U59</f>
        <v>FutureCamp (2022)</v>
      </c>
      <c r="Y59" s="249"/>
      <c r="Z59" s="3"/>
      <c r="AA59" s="284" t="str">
        <f>X59</f>
        <v>FutureCamp (2022)</v>
      </c>
      <c r="AB59" s="251"/>
      <c r="AC59" s="3"/>
    </row>
    <row r="60" spans="2:29" ht="14.25" x14ac:dyDescent="0.2">
      <c r="B60" s="3"/>
      <c r="C60" s="7"/>
      <c r="D60" s="7" t="s">
        <v>140</v>
      </c>
      <c r="E60" s="3" t="s">
        <v>43</v>
      </c>
      <c r="F60" s="3"/>
      <c r="G60" s="256" t="s">
        <v>121</v>
      </c>
      <c r="H60" s="257" t="s">
        <v>121</v>
      </c>
      <c r="I60" s="258" t="s">
        <v>121</v>
      </c>
      <c r="J60" s="255"/>
      <c r="K60" s="279">
        <v>0</v>
      </c>
      <c r="L60" s="280">
        <v>0</v>
      </c>
      <c r="M60" s="281">
        <v>0</v>
      </c>
      <c r="N60" s="255"/>
      <c r="O60" s="264">
        <v>1.5335600000000003E-5</v>
      </c>
      <c r="P60" s="255">
        <f>O60</f>
        <v>1.5335600000000003E-5</v>
      </c>
      <c r="Q60" s="282">
        <f>O60</f>
        <v>1.5335600000000003E-5</v>
      </c>
      <c r="R60" s="199"/>
      <c r="S60" s="249"/>
      <c r="T60" s="3"/>
      <c r="U60" s="284" t="s">
        <v>412</v>
      </c>
      <c r="V60" s="249"/>
      <c r="W60" s="3"/>
      <c r="X60" s="284" t="str">
        <f>U60</f>
        <v>FutureCamp (2022)</v>
      </c>
      <c r="Y60" s="249"/>
      <c r="Z60" s="3"/>
      <c r="AA60" s="284" t="str">
        <f>X60</f>
        <v>FutureCamp (2022)</v>
      </c>
      <c r="AB60" s="251"/>
      <c r="AC60" s="3"/>
    </row>
    <row r="61" spans="2:29" ht="14.25" x14ac:dyDescent="0.2">
      <c r="B61" s="3"/>
      <c r="C61" s="7"/>
      <c r="D61" s="7" t="s">
        <v>141</v>
      </c>
      <c r="E61" s="3" t="s">
        <v>43</v>
      </c>
      <c r="F61" s="3"/>
      <c r="G61" s="286" t="s">
        <v>121</v>
      </c>
      <c r="H61" s="287" t="s">
        <v>121</v>
      </c>
      <c r="I61" s="288" t="s">
        <v>121</v>
      </c>
      <c r="J61" s="255"/>
      <c r="K61" s="289">
        <v>0</v>
      </c>
      <c r="L61" s="290">
        <v>0</v>
      </c>
      <c r="M61" s="291">
        <v>0</v>
      </c>
      <c r="N61" s="255"/>
      <c r="O61" s="292">
        <v>2.65E-6</v>
      </c>
      <c r="P61" s="293">
        <f>O61</f>
        <v>2.65E-6</v>
      </c>
      <c r="Q61" s="294">
        <f>O61</f>
        <v>2.65E-6</v>
      </c>
      <c r="R61" s="199"/>
      <c r="S61" s="295"/>
      <c r="T61" s="24"/>
      <c r="U61" s="296" t="s">
        <v>412</v>
      </c>
      <c r="V61" s="295"/>
      <c r="W61" s="24"/>
      <c r="X61" s="296" t="str">
        <f>U61</f>
        <v>FutureCamp (2022)</v>
      </c>
      <c r="Y61" s="295"/>
      <c r="Z61" s="24"/>
      <c r="AA61" s="296" t="str">
        <f>X61</f>
        <v>FutureCamp (2022)</v>
      </c>
      <c r="AB61" s="297"/>
      <c r="AC61" s="3"/>
    </row>
    <row r="62" spans="2:29" ht="14.25" x14ac:dyDescent="0.2">
      <c r="B62" s="3"/>
      <c r="C62" s="7"/>
      <c r="D62" s="7"/>
      <c r="E62" s="3"/>
      <c r="F62" s="3"/>
      <c r="G62" s="257"/>
      <c r="H62" s="257"/>
      <c r="I62" s="257"/>
      <c r="J62" s="3"/>
      <c r="K62" s="298"/>
      <c r="L62" s="298"/>
      <c r="M62" s="298"/>
      <c r="N62" s="3"/>
      <c r="O62" s="3"/>
      <c r="P62" s="3"/>
      <c r="Q62" s="197"/>
      <c r="R62" s="199"/>
      <c r="S62" s="3"/>
      <c r="T62" s="3"/>
      <c r="U62" s="3"/>
      <c r="V62" s="3"/>
      <c r="W62" s="3"/>
      <c r="X62" s="3"/>
      <c r="Y62" s="3"/>
      <c r="Z62" s="3"/>
      <c r="AA62" s="3"/>
      <c r="AB62" s="259"/>
      <c r="AC62" s="3"/>
    </row>
    <row r="63" spans="2:29" ht="14.25" x14ac:dyDescent="0.2">
      <c r="B63" s="3"/>
      <c r="C63" s="7"/>
      <c r="D63" s="7"/>
      <c r="E63" s="3"/>
      <c r="F63" s="3"/>
      <c r="G63" s="257"/>
      <c r="H63" s="257"/>
      <c r="I63" s="257"/>
      <c r="J63" s="3"/>
      <c r="K63" s="298"/>
      <c r="L63" s="298"/>
      <c r="M63" s="298"/>
      <c r="N63" s="3"/>
      <c r="O63" s="3"/>
      <c r="P63" s="3"/>
      <c r="Q63" s="197"/>
      <c r="R63" s="199"/>
      <c r="S63" s="3"/>
      <c r="T63" s="3"/>
      <c r="U63" s="3"/>
      <c r="V63" s="3"/>
      <c r="W63" s="3"/>
      <c r="X63" s="3"/>
      <c r="Y63" s="3"/>
      <c r="Z63" s="3"/>
      <c r="AA63" s="3"/>
      <c r="AB63" s="3"/>
      <c r="AC63" s="3"/>
    </row>
    <row r="64" spans="2:29"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2:29" ht="14.25" x14ac:dyDescent="0.2">
      <c r="B65" s="34"/>
      <c r="C65" s="34"/>
      <c r="D65" s="34" t="s">
        <v>417</v>
      </c>
      <c r="E65" s="34"/>
      <c r="F65" s="34"/>
      <c r="G65" s="34"/>
      <c r="H65" s="34"/>
      <c r="I65" s="34"/>
      <c r="J65" s="34"/>
      <c r="K65" s="34"/>
      <c r="L65" s="3"/>
      <c r="M65" s="3"/>
      <c r="N65" s="3"/>
      <c r="O65" s="3"/>
      <c r="P65" s="3"/>
      <c r="Q65" s="3"/>
      <c r="R65" s="3"/>
      <c r="S65" s="3"/>
      <c r="T65" s="3"/>
      <c r="U65" s="3"/>
      <c r="V65" s="3"/>
      <c r="W65" s="3"/>
      <c r="X65" s="3"/>
      <c r="Y65" s="3"/>
      <c r="Z65" s="3"/>
      <c r="AA65" s="3"/>
      <c r="AB65" s="3"/>
      <c r="AC65" s="3"/>
    </row>
    <row r="66" spans="2:29" ht="14.25" x14ac:dyDescent="0.2">
      <c r="B66" s="3"/>
      <c r="C66" s="3"/>
      <c r="D66" s="3" t="s">
        <v>418</v>
      </c>
      <c r="E66" s="3"/>
      <c r="F66" s="3"/>
      <c r="G66" s="3"/>
      <c r="H66" s="3"/>
      <c r="I66" s="3"/>
      <c r="J66" s="3"/>
      <c r="K66" s="3"/>
      <c r="L66" s="3"/>
      <c r="M66" s="3"/>
      <c r="N66" s="3"/>
      <c r="O66" s="3"/>
      <c r="P66" s="3"/>
      <c r="Q66" s="3"/>
      <c r="R66" s="3"/>
      <c r="S66" s="3"/>
      <c r="T66" s="3"/>
      <c r="U66" s="3"/>
      <c r="V66" s="3"/>
      <c r="W66" s="3"/>
      <c r="X66" s="3"/>
      <c r="Y66" s="3"/>
      <c r="Z66" s="3"/>
      <c r="AA66" s="3"/>
      <c r="AB66" s="3"/>
      <c r="AC66" s="3"/>
    </row>
    <row r="67" spans="2:29"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2:29" hidden="1" x14ac:dyDescent="0.2">
      <c r="K68" s="2" t="s">
        <v>153</v>
      </c>
      <c r="L68" s="299">
        <f>L9/$K$9</f>
        <v>0.72654128614725655</v>
      </c>
      <c r="M68" s="299">
        <f>M9/$K$9</f>
        <v>0.35807187228685605</v>
      </c>
    </row>
  </sheetData>
  <sheetProtection sheet="1" selectLockedCells="1"/>
  <mergeCells count="6">
    <mergeCell ref="Y4:AA4"/>
    <mergeCell ref="G4:I4"/>
    <mergeCell ref="K4:M4"/>
    <mergeCell ref="O4:Q4"/>
    <mergeCell ref="S4:U4"/>
    <mergeCell ref="V4:X4"/>
  </mergeCells>
  <printOptions horizontalCentered="1"/>
  <pageMargins left="0.39370078740157483" right="0.39370078740157483" top="0.39370078740157483" bottom="0.59055118110236227" header="0.19685039370078741" footer="0.19685039370078741"/>
  <pageSetup paperSize="9" orientation="landscape" verticalDpi="60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95CD-DA43-4233-8E03-D4706C112B95}">
  <sheetPr>
    <pageSetUpPr fitToPage="1"/>
  </sheetPr>
  <dimension ref="B2:AA272"/>
  <sheetViews>
    <sheetView zoomScale="90" zoomScaleNormal="90" workbookViewId="0">
      <selection activeCell="G16" sqref="G16"/>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11" style="6" customWidth="1"/>
    <col min="6" max="6" width="10.375" style="6" customWidth="1"/>
    <col min="7" max="7" width="10.125" style="6" customWidth="1"/>
    <col min="8"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3" x14ac:dyDescent="0.2">
      <c r="B2" s="3"/>
      <c r="C2" s="89"/>
      <c r="D2" s="89"/>
      <c r="E2" s="89"/>
      <c r="F2" s="89"/>
      <c r="G2" s="89"/>
      <c r="H2" s="89"/>
      <c r="I2" s="89"/>
      <c r="J2" s="89"/>
      <c r="K2" s="89"/>
      <c r="L2" s="89"/>
      <c r="M2" s="3"/>
    </row>
    <row r="3" spans="2:13" ht="18" x14ac:dyDescent="0.25">
      <c r="B3" s="3"/>
      <c r="C3" s="89"/>
      <c r="D3" s="90" t="s">
        <v>205</v>
      </c>
      <c r="E3" s="89"/>
      <c r="F3" s="89"/>
      <c r="G3" s="89"/>
      <c r="H3" s="89"/>
      <c r="I3" s="89"/>
      <c r="J3" s="89"/>
      <c r="K3" s="89"/>
      <c r="L3" s="89"/>
      <c r="M3" s="3"/>
    </row>
    <row r="4" spans="2:13" x14ac:dyDescent="0.2">
      <c r="B4" s="3"/>
      <c r="C4" s="89"/>
      <c r="D4" s="3"/>
      <c r="E4" s="3"/>
      <c r="F4" s="3"/>
      <c r="G4" s="3"/>
      <c r="H4" s="3"/>
      <c r="I4" s="3"/>
      <c r="J4" s="3"/>
      <c r="K4" s="3"/>
      <c r="L4" s="3"/>
      <c r="M4" s="3"/>
    </row>
    <row r="5" spans="2:13" ht="17.25" customHeight="1" x14ac:dyDescent="0.2">
      <c r="B5" s="3"/>
      <c r="C5" s="89"/>
      <c r="D5" s="108" t="s">
        <v>327</v>
      </c>
      <c r="E5" s="103"/>
      <c r="F5" s="103"/>
      <c r="G5" s="103"/>
      <c r="H5" s="103"/>
      <c r="I5" s="103"/>
      <c r="J5" s="103"/>
      <c r="K5" s="103"/>
      <c r="L5" s="103"/>
      <c r="M5" s="3"/>
    </row>
    <row r="6" spans="2:13" ht="127.5" customHeight="1" x14ac:dyDescent="0.2">
      <c r="B6" s="3"/>
      <c r="C6" s="93"/>
      <c r="D6" s="386" t="s">
        <v>334</v>
      </c>
      <c r="E6" s="386"/>
      <c r="F6" s="386"/>
      <c r="G6" s="386"/>
      <c r="H6" s="386"/>
      <c r="I6" s="386"/>
      <c r="J6" s="386"/>
      <c r="K6" s="386"/>
      <c r="L6" s="386"/>
      <c r="M6" s="3"/>
    </row>
    <row r="7" spans="2:13" x14ac:dyDescent="0.2">
      <c r="B7" s="3"/>
      <c r="C7" s="89"/>
      <c r="D7" s="89"/>
      <c r="E7" s="89"/>
      <c r="F7" s="89"/>
      <c r="G7" s="89"/>
      <c r="H7" s="89"/>
      <c r="I7" s="89"/>
      <c r="J7" s="89"/>
      <c r="K7" s="89"/>
      <c r="L7" s="89"/>
      <c r="M7" s="3"/>
    </row>
    <row r="9" spans="2:13" x14ac:dyDescent="0.2">
      <c r="B9" s="3"/>
      <c r="C9" s="3"/>
      <c r="D9" s="3"/>
      <c r="E9" s="3"/>
      <c r="F9" s="3"/>
      <c r="G9" s="3"/>
      <c r="H9" s="3"/>
      <c r="I9" s="3"/>
      <c r="J9" s="3"/>
      <c r="K9" s="3"/>
      <c r="L9" s="3"/>
      <c r="M9" s="3"/>
    </row>
    <row r="10" spans="2:13" x14ac:dyDescent="0.2">
      <c r="B10" s="3"/>
      <c r="C10" s="3"/>
      <c r="D10" s="3"/>
      <c r="E10" s="3"/>
      <c r="F10" s="3"/>
      <c r="G10" s="3"/>
      <c r="H10" s="3"/>
      <c r="I10" s="3"/>
      <c r="J10" s="3"/>
      <c r="K10" s="3"/>
      <c r="L10" s="3"/>
      <c r="M10" s="3"/>
    </row>
    <row r="11" spans="2:13" ht="18" x14ac:dyDescent="0.25">
      <c r="B11" s="3"/>
      <c r="C11" s="3"/>
      <c r="D11" s="85" t="s">
        <v>206</v>
      </c>
      <c r="E11" s="94"/>
      <c r="F11" s="95"/>
      <c r="G11" s="7"/>
      <c r="H11" s="7"/>
      <c r="I11" s="7"/>
      <c r="J11" s="7"/>
      <c r="K11" s="7"/>
      <c r="L11" s="3"/>
      <c r="M11" s="3"/>
    </row>
    <row r="12" spans="2:13" ht="14.25" x14ac:dyDescent="0.2">
      <c r="B12" s="3"/>
      <c r="C12" s="3"/>
      <c r="D12" s="3"/>
      <c r="E12" s="3"/>
      <c r="F12" s="3"/>
      <c r="G12" s="3"/>
      <c r="H12" s="7"/>
      <c r="I12" s="7"/>
      <c r="J12" s="7"/>
      <c r="K12" s="7"/>
      <c r="L12" s="3"/>
      <c r="M12" s="3"/>
    </row>
    <row r="13" spans="2:13" ht="14.25" customHeight="1" x14ac:dyDescent="0.2">
      <c r="B13" s="3"/>
      <c r="C13" s="3"/>
      <c r="D13" s="8"/>
      <c r="E13" s="388">
        <v>2025</v>
      </c>
      <c r="F13" s="388"/>
      <c r="G13" s="388"/>
      <c r="H13" s="13"/>
      <c r="I13" s="388">
        <v>2030</v>
      </c>
      <c r="J13" s="388"/>
      <c r="K13" s="388"/>
      <c r="L13" s="8"/>
      <c r="M13" s="3"/>
    </row>
    <row r="14" spans="2:13" x14ac:dyDescent="0.2">
      <c r="B14" s="3"/>
      <c r="C14" s="3"/>
      <c r="D14" s="8"/>
      <c r="E14" s="101" t="s">
        <v>83</v>
      </c>
      <c r="F14" s="101"/>
      <c r="G14" s="101" t="s">
        <v>80</v>
      </c>
      <c r="H14" s="13"/>
      <c r="I14" s="101" t="s">
        <v>83</v>
      </c>
      <c r="J14" s="101"/>
      <c r="K14" s="101" t="s">
        <v>80</v>
      </c>
      <c r="L14" s="8"/>
      <c r="M14" s="3"/>
    </row>
    <row r="15" spans="2:13" x14ac:dyDescent="0.2">
      <c r="B15" s="3"/>
      <c r="C15" s="3"/>
      <c r="D15" s="3"/>
      <c r="E15" s="3"/>
      <c r="F15" s="3"/>
      <c r="G15" s="3"/>
      <c r="H15" s="3"/>
      <c r="I15" s="3"/>
      <c r="J15" s="3"/>
      <c r="K15" s="3"/>
      <c r="L15" s="3"/>
      <c r="M15" s="3"/>
    </row>
    <row r="16" spans="2:13" ht="25.5" x14ac:dyDescent="0.2">
      <c r="B16" s="3"/>
      <c r="C16" s="3"/>
      <c r="D16" s="11" t="s">
        <v>222</v>
      </c>
      <c r="E16" s="79">
        <v>30</v>
      </c>
      <c r="F16" s="15" t="s">
        <v>102</v>
      </c>
      <c r="G16" s="116"/>
      <c r="H16" s="15" t="s">
        <v>102</v>
      </c>
      <c r="I16" s="79">
        <v>30</v>
      </c>
      <c r="J16" s="15" t="s">
        <v>102</v>
      </c>
      <c r="K16" s="116"/>
      <c r="L16" s="15" t="s">
        <v>102</v>
      </c>
      <c r="M16" s="3"/>
    </row>
    <row r="17" spans="2:27" x14ac:dyDescent="0.2">
      <c r="B17" s="3"/>
      <c r="C17" s="3"/>
      <c r="D17" s="8"/>
      <c r="E17" s="80"/>
      <c r="F17" s="15"/>
      <c r="G17" s="15"/>
      <c r="H17" s="15"/>
      <c r="I17" s="80"/>
      <c r="J17" s="15"/>
      <c r="K17" s="15"/>
      <c r="L17" s="3"/>
      <c r="M17" s="3"/>
    </row>
    <row r="18" spans="2:27" x14ac:dyDescent="0.2">
      <c r="B18" s="3"/>
      <c r="C18" s="3"/>
      <c r="D18" s="12" t="s">
        <v>223</v>
      </c>
      <c r="E18" s="79">
        <v>400000</v>
      </c>
      <c r="F18" s="15" t="s">
        <v>108</v>
      </c>
      <c r="G18" s="300"/>
      <c r="H18" s="15" t="s">
        <v>108</v>
      </c>
      <c r="I18" s="79">
        <v>0</v>
      </c>
      <c r="J18" s="15" t="s">
        <v>108</v>
      </c>
      <c r="K18" s="300"/>
      <c r="L18" s="3" t="s">
        <v>108</v>
      </c>
      <c r="M18" s="3"/>
    </row>
    <row r="19" spans="2:27" ht="14.25" x14ac:dyDescent="0.2">
      <c r="B19" s="3"/>
      <c r="C19" s="3"/>
      <c r="D19" s="78" t="s">
        <v>227</v>
      </c>
      <c r="E19" s="79">
        <v>0</v>
      </c>
      <c r="F19" s="15" t="s">
        <v>109</v>
      </c>
      <c r="G19" s="300"/>
      <c r="H19" s="15" t="s">
        <v>109</v>
      </c>
      <c r="I19" s="79">
        <v>0</v>
      </c>
      <c r="J19" s="15" t="s">
        <v>109</v>
      </c>
      <c r="K19" s="300"/>
      <c r="L19" s="3" t="s">
        <v>109</v>
      </c>
      <c r="M19" s="3"/>
    </row>
    <row r="20" spans="2:27" ht="14.25" x14ac:dyDescent="0.2">
      <c r="B20" s="3"/>
      <c r="C20" s="3"/>
      <c r="D20" s="78" t="s">
        <v>192</v>
      </c>
      <c r="E20" s="79">
        <v>0</v>
      </c>
      <c r="F20" s="15" t="s">
        <v>108</v>
      </c>
      <c r="G20" s="300"/>
      <c r="H20" s="15" t="s">
        <v>108</v>
      </c>
      <c r="I20" s="79">
        <v>0</v>
      </c>
      <c r="J20" s="15" t="s">
        <v>108</v>
      </c>
      <c r="K20" s="300"/>
      <c r="L20" s="3" t="s">
        <v>108</v>
      </c>
      <c r="M20" s="3"/>
    </row>
    <row r="21" spans="2:27" x14ac:dyDescent="0.2">
      <c r="B21" s="3"/>
      <c r="C21" s="3"/>
      <c r="D21" s="78"/>
      <c r="E21" s="78"/>
      <c r="F21" s="78"/>
      <c r="G21" s="78"/>
      <c r="H21" s="78"/>
      <c r="I21" s="78"/>
      <c r="J21" s="78"/>
      <c r="K21" s="78"/>
      <c r="L21" s="78"/>
      <c r="M21" s="3"/>
    </row>
    <row r="22" spans="2:27" x14ac:dyDescent="0.2">
      <c r="B22" s="3"/>
      <c r="C22" s="3"/>
      <c r="D22" s="78"/>
      <c r="E22" s="15"/>
      <c r="F22" s="15"/>
      <c r="G22" s="15"/>
      <c r="H22" s="15"/>
      <c r="I22" s="15"/>
      <c r="J22" s="15"/>
      <c r="K22" s="15"/>
      <c r="L22" s="15"/>
      <c r="M22" s="3"/>
    </row>
    <row r="23" spans="2:27" x14ac:dyDescent="0.2">
      <c r="B23" s="3"/>
      <c r="C23" s="3"/>
      <c r="D23" s="78" t="s">
        <v>25</v>
      </c>
      <c r="E23" s="79">
        <v>10</v>
      </c>
      <c r="F23" s="15" t="s">
        <v>101</v>
      </c>
      <c r="G23" s="116"/>
      <c r="H23" s="15" t="s">
        <v>101</v>
      </c>
      <c r="I23" s="79">
        <v>10</v>
      </c>
      <c r="J23" s="15" t="s">
        <v>101</v>
      </c>
      <c r="K23" s="116"/>
      <c r="L23" s="15" t="s">
        <v>101</v>
      </c>
      <c r="M23" s="3"/>
    </row>
    <row r="24" spans="2:27" x14ac:dyDescent="0.2">
      <c r="B24" s="3"/>
      <c r="C24" s="3"/>
      <c r="D24" s="78" t="s">
        <v>26</v>
      </c>
      <c r="E24" s="81">
        <v>8</v>
      </c>
      <c r="F24" s="15" t="s">
        <v>102</v>
      </c>
      <c r="G24" s="301"/>
      <c r="H24" s="15" t="s">
        <v>102</v>
      </c>
      <c r="I24" s="81">
        <v>8</v>
      </c>
      <c r="J24" s="15" t="s">
        <v>102</v>
      </c>
      <c r="K24" s="301"/>
      <c r="L24" s="15" t="s">
        <v>102</v>
      </c>
      <c r="M24" s="3"/>
    </row>
    <row r="25" spans="2:27" x14ac:dyDescent="0.2">
      <c r="B25" s="3"/>
      <c r="C25" s="3"/>
      <c r="D25" s="15"/>
      <c r="E25" s="81"/>
      <c r="F25" s="15"/>
      <c r="G25" s="15"/>
      <c r="H25" s="15"/>
      <c r="I25" s="80"/>
      <c r="J25" s="15"/>
      <c r="K25" s="15"/>
      <c r="L25" s="3"/>
      <c r="M25" s="3"/>
    </row>
    <row r="26" spans="2:27" x14ac:dyDescent="0.2">
      <c r="B26" s="3"/>
      <c r="C26" s="3"/>
      <c r="D26" s="15"/>
      <c r="E26" s="10"/>
      <c r="F26" s="3"/>
      <c r="G26" s="3"/>
      <c r="H26" s="3"/>
      <c r="I26" s="16"/>
      <c r="J26" s="3"/>
      <c r="K26" s="3"/>
      <c r="L26" s="3"/>
      <c r="M26" s="3"/>
    </row>
    <row r="27" spans="2:27" ht="13.5" x14ac:dyDescent="0.2">
      <c r="B27" s="3"/>
      <c r="C27" s="3"/>
      <c r="D27" s="65" t="s">
        <v>169</v>
      </c>
      <c r="E27" s="10"/>
      <c r="F27" s="3"/>
      <c r="G27" s="3"/>
      <c r="H27" s="3"/>
      <c r="I27" s="16"/>
      <c r="J27" s="3"/>
      <c r="K27" s="3"/>
      <c r="L27" s="3"/>
      <c r="M27" s="3"/>
    </row>
    <row r="28" spans="2:27" ht="13.5" x14ac:dyDescent="0.2">
      <c r="B28" s="3"/>
      <c r="C28" s="3"/>
      <c r="D28" s="65" t="s">
        <v>216</v>
      </c>
      <c r="E28" s="10"/>
      <c r="F28" s="3"/>
      <c r="G28" s="3"/>
      <c r="H28" s="3"/>
      <c r="I28" s="16"/>
      <c r="J28" s="3"/>
      <c r="K28" s="3"/>
      <c r="L28" s="3"/>
      <c r="M28" s="3"/>
    </row>
    <row r="29" spans="2:27" x14ac:dyDescent="0.2">
      <c r="B29" s="3"/>
      <c r="C29" s="3"/>
      <c r="D29" s="15"/>
      <c r="E29" s="10"/>
      <c r="F29" s="3"/>
      <c r="G29" s="3"/>
      <c r="H29" s="3"/>
      <c r="I29" s="16"/>
      <c r="J29" s="3"/>
      <c r="K29" s="3"/>
      <c r="L29" s="3"/>
      <c r="M29" s="3"/>
    </row>
    <row r="31" spans="2:27" x14ac:dyDescent="0.2">
      <c r="B31" s="3"/>
      <c r="C31" s="3"/>
      <c r="D31" s="14"/>
      <c r="E31" s="3"/>
      <c r="F31" s="3"/>
      <c r="G31" s="3"/>
      <c r="H31" s="3"/>
      <c r="I31" s="3"/>
      <c r="J31" s="3"/>
      <c r="K31" s="3"/>
      <c r="L31" s="3"/>
      <c r="M31" s="3"/>
      <c r="N31" s="3"/>
      <c r="O31" s="3"/>
      <c r="P31" s="3"/>
      <c r="Q31" s="3"/>
      <c r="R31" s="3"/>
      <c r="S31" s="3"/>
      <c r="T31" s="3"/>
      <c r="U31" s="3"/>
      <c r="V31" s="3"/>
      <c r="W31" s="3"/>
      <c r="X31" s="3"/>
      <c r="Y31" s="3"/>
      <c r="Z31" s="3"/>
      <c r="AA31" s="3"/>
    </row>
    <row r="32" spans="2:27" ht="18" x14ac:dyDescent="0.25">
      <c r="B32" s="3"/>
      <c r="C32" s="96" t="s">
        <v>170</v>
      </c>
      <c r="D32" s="14"/>
      <c r="E32" s="3"/>
      <c r="F32" s="3"/>
      <c r="G32" s="3"/>
      <c r="H32" s="3"/>
      <c r="I32" s="3"/>
      <c r="J32" s="3"/>
      <c r="K32" s="3"/>
      <c r="L32" s="3"/>
      <c r="M32" s="3"/>
      <c r="N32" s="3"/>
      <c r="O32" s="3"/>
      <c r="P32" s="3"/>
      <c r="Q32" s="3"/>
      <c r="R32" s="3"/>
      <c r="S32" s="3"/>
      <c r="T32" s="3"/>
      <c r="U32" s="3"/>
      <c r="V32" s="3"/>
      <c r="W32" s="3"/>
      <c r="X32" s="3"/>
      <c r="Y32" s="3"/>
      <c r="Z32" s="3"/>
      <c r="AA32" s="3"/>
    </row>
    <row r="33" spans="2:27" x14ac:dyDescent="0.2">
      <c r="B33" s="3"/>
      <c r="C33" s="3"/>
      <c r="D33" s="14"/>
      <c r="E33" s="3"/>
      <c r="F33" s="3"/>
      <c r="G33" s="3"/>
      <c r="H33" s="3"/>
      <c r="I33" s="3"/>
      <c r="J33" s="3"/>
      <c r="K33" s="3"/>
      <c r="L33" s="3"/>
      <c r="M33" s="3"/>
      <c r="N33" s="3"/>
      <c r="O33" s="3"/>
      <c r="P33" s="3"/>
      <c r="Q33" s="3"/>
      <c r="R33" s="3"/>
      <c r="S33" s="3"/>
      <c r="T33" s="3"/>
      <c r="U33" s="3"/>
      <c r="V33" s="3"/>
      <c r="W33" s="3"/>
      <c r="X33" s="3"/>
      <c r="Y33" s="3"/>
      <c r="Z33" s="3"/>
      <c r="AA33" s="3"/>
    </row>
    <row r="34" spans="2:27" ht="15" x14ac:dyDescent="0.25">
      <c r="B34" s="3"/>
      <c r="C34" s="91" t="s">
        <v>115</v>
      </c>
      <c r="D34" s="3"/>
      <c r="E34" s="3"/>
      <c r="F34" s="3"/>
      <c r="G34" s="3"/>
      <c r="H34" s="3"/>
      <c r="I34" s="3"/>
      <c r="J34" s="3"/>
      <c r="K34" s="91" t="s">
        <v>119</v>
      </c>
      <c r="L34" s="3"/>
      <c r="M34" s="3"/>
      <c r="N34" s="3"/>
      <c r="O34" s="3"/>
      <c r="P34" s="3"/>
      <c r="Q34" s="3"/>
      <c r="R34" s="3"/>
      <c r="S34" s="92" t="s">
        <v>87</v>
      </c>
      <c r="T34" s="3"/>
      <c r="U34" s="3"/>
      <c r="V34" s="3"/>
      <c r="W34" s="3"/>
      <c r="X34" s="3"/>
      <c r="Y34" s="3"/>
      <c r="Z34" s="3"/>
      <c r="AA34" s="3"/>
    </row>
    <row r="35" spans="2:27" x14ac:dyDescent="0.2">
      <c r="B35" s="3"/>
      <c r="C35" s="3"/>
      <c r="D35" s="14"/>
      <c r="E35" s="3"/>
      <c r="F35" s="3"/>
      <c r="G35" s="3"/>
      <c r="H35" s="3"/>
      <c r="I35" s="3"/>
      <c r="J35" s="3"/>
      <c r="K35" s="3"/>
      <c r="L35" s="3"/>
      <c r="M35" s="3"/>
      <c r="N35" s="3"/>
      <c r="O35" s="3"/>
      <c r="P35" s="3"/>
      <c r="Q35" s="3"/>
      <c r="R35" s="3"/>
      <c r="S35" s="3"/>
      <c r="T35" s="3"/>
      <c r="U35" s="3"/>
      <c r="V35" s="3"/>
      <c r="W35" s="3"/>
      <c r="X35" s="3"/>
      <c r="Y35" s="3"/>
      <c r="Z35" s="3"/>
      <c r="AA35" s="3"/>
    </row>
    <row r="36" spans="2:27" x14ac:dyDescent="0.2">
      <c r="B36" s="3"/>
      <c r="C36" s="3"/>
      <c r="D36" s="3"/>
      <c r="E36" s="3"/>
      <c r="F36" s="3"/>
      <c r="G36" s="3"/>
      <c r="H36" s="3"/>
      <c r="I36" s="3"/>
      <c r="J36" s="3"/>
      <c r="K36" s="3"/>
      <c r="L36" s="3"/>
      <c r="M36" s="3"/>
      <c r="N36" s="3"/>
      <c r="O36" s="3"/>
      <c r="P36" s="3"/>
      <c r="Q36" s="3"/>
      <c r="R36" s="3"/>
      <c r="S36" s="3"/>
      <c r="T36" s="3"/>
      <c r="U36" s="3"/>
      <c r="V36" s="3"/>
      <c r="W36" s="3"/>
      <c r="X36" s="3"/>
      <c r="Y36" s="3"/>
      <c r="Z36" s="3"/>
      <c r="AA36" s="3"/>
    </row>
    <row r="37" spans="2:27" x14ac:dyDescent="0.2">
      <c r="B37" s="3"/>
      <c r="C37" s="3"/>
      <c r="D37" s="3"/>
      <c r="E37" s="3"/>
      <c r="F37" s="3"/>
      <c r="G37" s="3"/>
      <c r="H37" s="3"/>
      <c r="I37" s="3"/>
      <c r="J37" s="3"/>
      <c r="K37" s="3"/>
      <c r="L37" s="3"/>
      <c r="M37" s="3"/>
      <c r="N37" s="3"/>
      <c r="O37" s="3"/>
      <c r="P37" s="3"/>
      <c r="Q37" s="3"/>
      <c r="R37" s="3"/>
      <c r="S37" s="3"/>
      <c r="T37" s="3"/>
      <c r="U37" s="3"/>
      <c r="V37" s="3"/>
      <c r="W37" s="3"/>
      <c r="X37" s="3"/>
      <c r="Y37" s="3"/>
      <c r="Z37" s="3"/>
      <c r="AA37" s="3"/>
    </row>
    <row r="38" spans="2:27" x14ac:dyDescent="0.2">
      <c r="B38" s="3"/>
      <c r="C38" s="3"/>
      <c r="D38" s="3"/>
      <c r="E38" s="3"/>
      <c r="F38" s="3"/>
      <c r="G38" s="3"/>
      <c r="H38" s="3"/>
      <c r="I38" s="3"/>
      <c r="J38" s="3"/>
      <c r="K38" s="3"/>
      <c r="L38" s="3"/>
      <c r="M38" s="3"/>
      <c r="N38" s="3"/>
      <c r="O38" s="3"/>
      <c r="P38" s="3"/>
      <c r="Q38" s="3"/>
      <c r="R38" s="3"/>
      <c r="S38" s="3"/>
      <c r="T38" s="3"/>
      <c r="U38" s="3"/>
      <c r="V38" s="3"/>
      <c r="W38" s="3"/>
      <c r="X38" s="3"/>
      <c r="Y38" s="3"/>
      <c r="Z38" s="3"/>
      <c r="AA38" s="3"/>
    </row>
    <row r="39" spans="2:27" x14ac:dyDescent="0.2">
      <c r="B39" s="3"/>
      <c r="C39" s="3"/>
      <c r="D39" s="3"/>
      <c r="E39" s="3"/>
      <c r="F39" s="3"/>
      <c r="G39" s="3"/>
      <c r="H39" s="3"/>
      <c r="I39" s="3"/>
      <c r="J39" s="3"/>
      <c r="K39" s="3"/>
      <c r="L39" s="3"/>
      <c r="M39" s="3"/>
      <c r="N39" s="3"/>
      <c r="O39" s="3"/>
      <c r="P39" s="3"/>
      <c r="Q39" s="3"/>
      <c r="R39" s="3"/>
      <c r="S39" s="3"/>
      <c r="T39" s="3"/>
      <c r="U39" s="3"/>
      <c r="V39" s="3"/>
      <c r="W39" s="3"/>
      <c r="X39" s="3"/>
      <c r="Y39" s="3"/>
      <c r="Z39" s="3"/>
      <c r="AA39" s="3"/>
    </row>
    <row r="40" spans="2:27" x14ac:dyDescent="0.2">
      <c r="B40" s="3"/>
      <c r="C40" s="3"/>
      <c r="D40" s="3"/>
      <c r="E40" s="3"/>
      <c r="F40" s="3"/>
      <c r="G40" s="3"/>
      <c r="H40" s="3"/>
      <c r="I40" s="3"/>
      <c r="J40" s="3"/>
      <c r="K40" s="3"/>
      <c r="L40" s="3"/>
      <c r="M40" s="3"/>
      <c r="N40" s="3"/>
      <c r="O40" s="3"/>
      <c r="P40" s="3"/>
      <c r="Q40" s="3"/>
      <c r="R40" s="3"/>
      <c r="S40" s="3"/>
      <c r="T40" s="3"/>
      <c r="U40" s="3"/>
      <c r="V40" s="3"/>
      <c r="W40" s="3"/>
      <c r="X40" s="3"/>
      <c r="Y40" s="3"/>
      <c r="Z40" s="3"/>
      <c r="AA40" s="3"/>
    </row>
    <row r="41" spans="2:27" x14ac:dyDescent="0.2">
      <c r="B41" s="3"/>
      <c r="C41" s="3"/>
      <c r="D41" s="3"/>
      <c r="E41" s="3"/>
      <c r="F41" s="3"/>
      <c r="G41" s="3"/>
      <c r="H41" s="3"/>
      <c r="I41" s="3"/>
      <c r="J41" s="3"/>
      <c r="K41" s="3"/>
      <c r="L41" s="3"/>
      <c r="M41" s="3"/>
      <c r="N41" s="3"/>
      <c r="O41" s="3"/>
      <c r="P41" s="3"/>
      <c r="Q41" s="3"/>
      <c r="R41" s="3"/>
      <c r="S41" s="3"/>
      <c r="T41" s="3"/>
      <c r="U41" s="3"/>
      <c r="V41" s="3"/>
      <c r="W41" s="3"/>
      <c r="X41" s="3"/>
      <c r="Y41" s="3"/>
      <c r="Z41" s="3"/>
      <c r="AA41" s="3"/>
    </row>
    <row r="42" spans="2:27" x14ac:dyDescent="0.2">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x14ac:dyDescent="0.2">
      <c r="B43" s="3"/>
      <c r="C43" s="3"/>
      <c r="D43" s="3"/>
      <c r="E43" s="3"/>
      <c r="F43" s="3"/>
      <c r="G43" s="3"/>
      <c r="H43" s="3"/>
      <c r="I43" s="3"/>
      <c r="J43" s="3"/>
      <c r="K43" s="3"/>
      <c r="L43" s="3"/>
      <c r="M43" s="3"/>
      <c r="N43" s="3"/>
      <c r="O43" s="3"/>
      <c r="P43" s="3"/>
      <c r="Q43" s="3"/>
      <c r="R43" s="3"/>
      <c r="S43" s="3"/>
      <c r="T43" s="3"/>
      <c r="U43" s="3"/>
      <c r="V43" s="3"/>
      <c r="W43" s="3"/>
      <c r="X43" s="3"/>
      <c r="Y43" s="3"/>
      <c r="Z43" s="3"/>
      <c r="AA43" s="3"/>
    </row>
    <row r="44" spans="2:27" x14ac:dyDescent="0.2">
      <c r="B44" s="3"/>
      <c r="C44" s="3"/>
      <c r="D44" s="3"/>
      <c r="E44" s="3"/>
      <c r="F44" s="3"/>
      <c r="G44" s="3"/>
      <c r="H44" s="3"/>
      <c r="I44" s="3"/>
      <c r="J44" s="3"/>
      <c r="K44" s="3"/>
      <c r="L44" s="3"/>
      <c r="M44" s="3"/>
      <c r="N44" s="3"/>
      <c r="O44" s="3"/>
      <c r="P44" s="3"/>
      <c r="Q44" s="3"/>
      <c r="R44" s="3"/>
      <c r="S44" s="3"/>
      <c r="T44" s="3"/>
      <c r="U44" s="3"/>
      <c r="V44" s="3"/>
      <c r="W44" s="3"/>
      <c r="X44" s="3"/>
      <c r="Y44" s="3"/>
      <c r="Z44" s="3"/>
      <c r="AA44" s="3"/>
    </row>
    <row r="45" spans="2:27" x14ac:dyDescent="0.2">
      <c r="B45" s="3"/>
      <c r="C45" s="3"/>
      <c r="D45" s="3"/>
      <c r="E45" s="3"/>
      <c r="F45" s="3"/>
      <c r="G45" s="3"/>
      <c r="H45" s="3"/>
      <c r="I45" s="3"/>
      <c r="J45" s="3"/>
      <c r="K45" s="3"/>
      <c r="L45" s="3"/>
      <c r="M45" s="3"/>
      <c r="N45" s="3"/>
      <c r="O45" s="3"/>
      <c r="P45" s="3"/>
      <c r="Q45" s="3"/>
      <c r="R45" s="3"/>
      <c r="S45" s="3"/>
      <c r="T45" s="3"/>
      <c r="U45" s="3"/>
      <c r="V45" s="3"/>
      <c r="W45" s="3"/>
      <c r="X45" s="3"/>
      <c r="Y45" s="3"/>
      <c r="Z45" s="3"/>
      <c r="AA45" s="3"/>
    </row>
    <row r="46" spans="2:27" x14ac:dyDescent="0.2">
      <c r="B46" s="3"/>
      <c r="C46" s="3"/>
      <c r="D46" s="3"/>
      <c r="E46" s="3"/>
      <c r="F46" s="3"/>
      <c r="G46" s="3"/>
      <c r="H46" s="3"/>
      <c r="I46" s="3"/>
      <c r="J46" s="3"/>
      <c r="K46" s="3"/>
      <c r="L46" s="3"/>
      <c r="M46" s="3"/>
      <c r="N46" s="3"/>
      <c r="O46" s="3"/>
      <c r="P46" s="3"/>
      <c r="Q46" s="3"/>
      <c r="R46" s="3"/>
      <c r="S46" s="3"/>
      <c r="T46" s="3"/>
      <c r="U46" s="3"/>
      <c r="V46" s="3"/>
      <c r="W46" s="3"/>
      <c r="X46" s="3"/>
      <c r="Y46" s="3"/>
      <c r="Z46" s="3"/>
      <c r="AA46" s="3"/>
    </row>
    <row r="47" spans="2:27" x14ac:dyDescent="0.2">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3"/>
      <c r="E48" s="3"/>
      <c r="F48" s="3"/>
      <c r="G48" s="3"/>
      <c r="H48" s="3"/>
      <c r="I48" s="3"/>
      <c r="J48" s="3"/>
      <c r="K48" s="3"/>
      <c r="L48" s="3"/>
      <c r="M48" s="3"/>
      <c r="N48" s="3"/>
      <c r="O48" s="3"/>
      <c r="P48" s="3"/>
      <c r="Q48" s="3"/>
      <c r="R48" s="3"/>
      <c r="S48" s="3"/>
      <c r="T48" s="3"/>
      <c r="U48" s="3"/>
      <c r="V48" s="3"/>
      <c r="W48" s="3"/>
      <c r="X48" s="3"/>
      <c r="Y48" s="3"/>
      <c r="Z48" s="3"/>
      <c r="AA48" s="3"/>
    </row>
    <row r="49" spans="2:27" x14ac:dyDescent="0.2">
      <c r="B49" s="3"/>
      <c r="C49" s="3"/>
      <c r="D49" s="3"/>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ht="15" customHeight="1" x14ac:dyDescent="0.25">
      <c r="B66" s="3"/>
      <c r="C66" s="96"/>
      <c r="D66" s="62"/>
      <c r="E66" s="3"/>
      <c r="F66" s="3"/>
      <c r="G66" s="3"/>
      <c r="H66" s="3"/>
      <c r="I66" s="3"/>
      <c r="J66" s="3"/>
      <c r="K66" s="3"/>
      <c r="L66" s="3"/>
      <c r="M66" s="3"/>
      <c r="N66" s="3"/>
      <c r="O66" s="3"/>
      <c r="P66" s="3"/>
      <c r="Q66" s="3"/>
      <c r="R66" s="3"/>
      <c r="S66" s="3"/>
      <c r="T66" s="3"/>
      <c r="U66" s="3"/>
      <c r="V66" s="3"/>
      <c r="W66" s="3"/>
      <c r="X66" s="3"/>
      <c r="Y66" s="84"/>
      <c r="Z66" s="84"/>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83"/>
      <c r="Z67" s="8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83"/>
      <c r="Z68" s="83"/>
      <c r="AA68" s="3"/>
    </row>
    <row r="69" spans="2:27" ht="15" customHeight="1" x14ac:dyDescent="0.25">
      <c r="B69" s="3"/>
      <c r="C69" s="3"/>
      <c r="D69" s="23" t="s">
        <v>116</v>
      </c>
      <c r="E69" s="24"/>
      <c r="F69" s="24"/>
      <c r="G69" s="24"/>
      <c r="H69" s="24"/>
      <c r="I69" s="3"/>
      <c r="J69" s="3"/>
      <c r="K69" s="3"/>
      <c r="L69" s="23" t="s">
        <v>195</v>
      </c>
      <c r="M69" s="24"/>
      <c r="N69" s="24"/>
      <c r="O69" s="24"/>
      <c r="P69" s="24"/>
      <c r="Q69" s="3"/>
      <c r="R69" s="3"/>
      <c r="S69" s="3"/>
      <c r="T69" s="23" t="s">
        <v>200</v>
      </c>
      <c r="U69" s="24"/>
      <c r="V69" s="24"/>
      <c r="W69" s="24"/>
      <c r="X69" s="3"/>
      <c r="Y69" s="83"/>
      <c r="Z69" s="83"/>
      <c r="AA69" s="3"/>
    </row>
    <row r="70" spans="2:27" ht="15" customHeight="1" x14ac:dyDescent="0.25">
      <c r="B70" s="3"/>
      <c r="C70" s="387" t="s">
        <v>147</v>
      </c>
      <c r="D70" s="46"/>
      <c r="E70" s="46">
        <v>2020</v>
      </c>
      <c r="F70" s="47">
        <v>2025</v>
      </c>
      <c r="G70" s="47">
        <v>2030</v>
      </c>
      <c r="H70" s="34"/>
      <c r="I70" s="3"/>
      <c r="J70" s="3"/>
      <c r="K70" s="3"/>
      <c r="L70" s="34"/>
      <c r="M70" s="46">
        <v>2020</v>
      </c>
      <c r="N70" s="47">
        <v>2025</v>
      </c>
      <c r="O70" s="47">
        <v>2030</v>
      </c>
      <c r="P70" s="34"/>
      <c r="Q70" s="3"/>
      <c r="R70" s="3"/>
      <c r="S70" s="387" t="s">
        <v>147</v>
      </c>
      <c r="T70" s="34"/>
      <c r="U70" s="47">
        <v>2020</v>
      </c>
      <c r="V70" s="47">
        <v>2025</v>
      </c>
      <c r="W70" s="47">
        <v>2030</v>
      </c>
      <c r="X70" s="3"/>
      <c r="Y70" s="83"/>
      <c r="Z70" s="83"/>
      <c r="AA70" s="63"/>
    </row>
    <row r="71" spans="2:27" x14ac:dyDescent="0.2">
      <c r="B71" s="3"/>
      <c r="C71" s="387"/>
      <c r="D71" s="24"/>
      <c r="E71" s="48" t="s">
        <v>92</v>
      </c>
      <c r="F71" s="49"/>
      <c r="G71" s="49"/>
      <c r="H71" s="24"/>
      <c r="I71" s="3"/>
      <c r="J71" s="3"/>
      <c r="K71" s="3"/>
      <c r="L71" s="24"/>
      <c r="M71" s="48" t="s">
        <v>92</v>
      </c>
      <c r="N71" s="49"/>
      <c r="O71" s="49"/>
      <c r="P71" s="24"/>
      <c r="Q71" s="3"/>
      <c r="R71" s="3"/>
      <c r="S71" s="387"/>
      <c r="T71" s="24"/>
      <c r="U71" s="50" t="s">
        <v>92</v>
      </c>
      <c r="V71" s="50"/>
      <c r="W71" s="59"/>
      <c r="X71" s="3"/>
      <c r="Y71" s="83"/>
      <c r="Z71" s="83"/>
      <c r="AA71" s="63"/>
    </row>
    <row r="72" spans="2:27" ht="15.75" x14ac:dyDescent="0.3">
      <c r="B72" s="3"/>
      <c r="C72" s="3"/>
      <c r="D72" s="29" t="s">
        <v>32</v>
      </c>
      <c r="E72" s="32">
        <f>'Referenz Pflasterwerk'!$U$16+'Referenz Pflasterwerk'!U21</f>
        <v>8.2422000000000004</v>
      </c>
      <c r="F72" s="32">
        <f>J145+J150</f>
        <v>7.7476679999999991</v>
      </c>
      <c r="G72" s="32">
        <f>J213+J218</f>
        <v>7.7476679999999991</v>
      </c>
      <c r="H72" s="25" t="s">
        <v>164</v>
      </c>
      <c r="I72" s="3"/>
      <c r="J72" s="3"/>
      <c r="K72" s="3"/>
      <c r="L72" s="29" t="s">
        <v>118</v>
      </c>
      <c r="M72" s="26">
        <f>'Referenz Pflasterwerk'!Q74</f>
        <v>106.60088015999999</v>
      </c>
      <c r="N72" s="26">
        <f>F202</f>
        <v>105.94629215999998</v>
      </c>
      <c r="O72" s="26">
        <f>F270</f>
        <v>105.94629215999998</v>
      </c>
      <c r="P72" s="25" t="s">
        <v>164</v>
      </c>
      <c r="Q72" s="3"/>
      <c r="R72" s="3"/>
      <c r="S72" s="3"/>
      <c r="T72" s="57" t="s">
        <v>160</v>
      </c>
      <c r="U72" s="58">
        <f>SUM(U73:U79)</f>
        <v>172669</v>
      </c>
      <c r="V72" s="58">
        <f t="shared" ref="V72:W72" si="0">SUM(V73:V79)</f>
        <v>164736.70000000001</v>
      </c>
      <c r="W72" s="58">
        <f t="shared" si="0"/>
        <v>164736.70000000001</v>
      </c>
      <c r="X72" s="3"/>
      <c r="Y72" s="115"/>
      <c r="Z72" s="115"/>
      <c r="AA72" s="63"/>
    </row>
    <row r="73" spans="2:27" ht="15.75" x14ac:dyDescent="0.3">
      <c r="B73" s="3"/>
      <c r="C73" s="3"/>
      <c r="D73" s="8" t="s">
        <v>33</v>
      </c>
      <c r="E73" s="10">
        <f>'Referenz Pflasterwerk'!$U$17+'Referenz Pflasterwerk'!U22</f>
        <v>2.6676000000000002</v>
      </c>
      <c r="F73" s="10">
        <f>J146+J151</f>
        <v>2.5075439999999998</v>
      </c>
      <c r="G73" s="10">
        <f>J214+J219</f>
        <v>2.5075439999999998</v>
      </c>
      <c r="H73" s="3" t="s">
        <v>164</v>
      </c>
      <c r="I73" s="3"/>
      <c r="J73" s="3"/>
      <c r="K73" s="3"/>
      <c r="L73" s="8" t="s">
        <v>28</v>
      </c>
      <c r="M73" s="9">
        <f>'Referenz Pflasterwerk'!R74</f>
        <v>286.5</v>
      </c>
      <c r="N73" s="9">
        <f>G202</f>
        <v>195.66483377231765</v>
      </c>
      <c r="O73" s="9">
        <f>G270</f>
        <v>96.432335925573213</v>
      </c>
      <c r="P73" s="3" t="s">
        <v>164</v>
      </c>
      <c r="Q73" s="3"/>
      <c r="R73" s="3"/>
      <c r="S73" s="3"/>
      <c r="T73" s="31" t="s">
        <v>32</v>
      </c>
      <c r="U73" s="52">
        <f>'Referenz Pflasterwerk'!AB16</f>
        <v>2745</v>
      </c>
      <c r="V73" s="52">
        <f>S145+S150</f>
        <v>2580.3000000000002</v>
      </c>
      <c r="W73" s="52">
        <f>S213+S218</f>
        <v>2580.3000000000002</v>
      </c>
      <c r="X73" s="3"/>
      <c r="Y73" s="115"/>
      <c r="Z73" s="115"/>
      <c r="AA73" s="63"/>
    </row>
    <row r="74" spans="2:27" ht="15.75" x14ac:dyDescent="0.3">
      <c r="B74" s="3"/>
      <c r="C74" s="3"/>
      <c r="D74" s="29" t="s">
        <v>34</v>
      </c>
      <c r="E74" s="32">
        <f>'Referenz Pflasterwerk'!$U$18+'Referenz Pflasterwerk'!R24</f>
        <v>286.5</v>
      </c>
      <c r="F74" s="32">
        <f>J147+J153</f>
        <v>195.66483377231765</v>
      </c>
      <c r="G74" s="32">
        <f>J215+J221</f>
        <v>96.432335925573213</v>
      </c>
      <c r="H74" s="25" t="s">
        <v>164</v>
      </c>
      <c r="I74" s="3"/>
      <c r="J74" s="3"/>
      <c r="K74" s="3"/>
      <c r="L74" s="29" t="s">
        <v>29</v>
      </c>
      <c r="M74" s="26">
        <f>'Referenz Pflasterwerk'!S74</f>
        <v>10520.622960446901</v>
      </c>
      <c r="N74" s="26">
        <f>H202</f>
        <v>10507.198419823993</v>
      </c>
      <c r="O74" s="26">
        <f>H270</f>
        <v>10492.651247364784</v>
      </c>
      <c r="P74" s="25" t="s">
        <v>164</v>
      </c>
      <c r="Q74" s="3"/>
      <c r="R74" s="3"/>
      <c r="S74" s="3"/>
      <c r="T74" s="31" t="s">
        <v>33</v>
      </c>
      <c r="U74" s="52">
        <f>'Referenz Pflasterwerk'!AB17</f>
        <v>460</v>
      </c>
      <c r="V74" s="52">
        <f>S146+S151</f>
        <v>432.4</v>
      </c>
      <c r="W74" s="52">
        <f>S214+S219</f>
        <v>432.4</v>
      </c>
      <c r="X74" s="3"/>
      <c r="Y74" s="115"/>
      <c r="Z74" s="115"/>
      <c r="AA74" s="63"/>
    </row>
    <row r="75" spans="2:27" ht="16.5" thickBot="1" x14ac:dyDescent="0.35">
      <c r="B75" s="3"/>
      <c r="C75" s="3"/>
      <c r="D75" s="8" t="s">
        <v>129</v>
      </c>
      <c r="E75" s="10">
        <f>'Referenz Pflasterwerk'!$U$19</f>
        <v>0</v>
      </c>
      <c r="F75" s="10">
        <f>J148</f>
        <v>0</v>
      </c>
      <c r="G75" s="10">
        <f>J216</f>
        <v>0</v>
      </c>
      <c r="H75" s="3" t="s">
        <v>164</v>
      </c>
      <c r="I75" s="3"/>
      <c r="J75" s="3"/>
      <c r="K75" s="3"/>
      <c r="L75" s="27" t="s">
        <v>70</v>
      </c>
      <c r="M75" s="28">
        <f>SUM(M72:M74)</f>
        <v>10913.723840606901</v>
      </c>
      <c r="N75" s="28">
        <f t="shared" ref="N75:O75" si="1">SUM(N72:N74)</f>
        <v>10808.80954575631</v>
      </c>
      <c r="O75" s="28">
        <f t="shared" si="1"/>
        <v>10695.029875450356</v>
      </c>
      <c r="P75" s="27" t="s">
        <v>165</v>
      </c>
      <c r="Q75" s="3"/>
      <c r="R75" s="3"/>
      <c r="S75" s="3"/>
      <c r="T75" s="31" t="s">
        <v>34</v>
      </c>
      <c r="U75" s="52">
        <f>'Referenz Pflasterwerk'!AB18</f>
        <v>129000</v>
      </c>
      <c r="V75" s="52">
        <f>S147+S153</f>
        <v>121260</v>
      </c>
      <c r="W75" s="52">
        <f>S215+S221</f>
        <v>121260</v>
      </c>
      <c r="X75" s="3"/>
      <c r="Y75" s="115"/>
      <c r="Z75" s="115"/>
      <c r="AA75" s="63"/>
    </row>
    <row r="76" spans="2:27" ht="16.5" thickTop="1" x14ac:dyDescent="0.3">
      <c r="B76" s="3"/>
      <c r="C76" s="3"/>
      <c r="D76" s="29" t="s">
        <v>125</v>
      </c>
      <c r="E76" s="32">
        <f>'Referenz Pflasterwerk'!$U$25</f>
        <v>0</v>
      </c>
      <c r="F76" s="32">
        <f>J154</f>
        <v>0</v>
      </c>
      <c r="G76" s="32">
        <f>J222</f>
        <v>0</v>
      </c>
      <c r="H76" s="25" t="s">
        <v>164</v>
      </c>
      <c r="I76" s="3"/>
      <c r="J76" s="3"/>
      <c r="K76" s="3"/>
      <c r="L76" s="3"/>
      <c r="M76" s="3"/>
      <c r="N76" s="3"/>
      <c r="O76" s="3"/>
      <c r="P76" s="3"/>
      <c r="Q76" s="3"/>
      <c r="R76" s="3"/>
      <c r="S76" s="3"/>
      <c r="T76" s="31" t="s">
        <v>125</v>
      </c>
      <c r="U76" s="52">
        <f>'Referenz Pflasterwerk'!AB19</f>
        <v>0</v>
      </c>
      <c r="V76" s="52">
        <f>S154</f>
        <v>0</v>
      </c>
      <c r="W76" s="52">
        <f>S222</f>
        <v>0</v>
      </c>
      <c r="X76" s="3"/>
      <c r="Y76" s="115"/>
      <c r="Z76" s="115"/>
      <c r="AA76" s="63"/>
    </row>
    <row r="77" spans="2:27" ht="15.75" x14ac:dyDescent="0.3">
      <c r="B77" s="3"/>
      <c r="C77" s="3"/>
      <c r="D77" s="8" t="s">
        <v>151</v>
      </c>
      <c r="E77" s="10">
        <f>'Referenz Pflasterwerk'!$U$26</f>
        <v>0</v>
      </c>
      <c r="F77" s="10">
        <f>J155</f>
        <v>0</v>
      </c>
      <c r="G77" s="10">
        <f>J223</f>
        <v>0</v>
      </c>
      <c r="H77" s="3" t="s">
        <v>164</v>
      </c>
      <c r="I77" s="3"/>
      <c r="J77" s="3"/>
      <c r="K77" s="3"/>
      <c r="L77" s="3"/>
      <c r="M77" s="3"/>
      <c r="N77" s="3"/>
      <c r="O77" s="3"/>
      <c r="P77" s="3"/>
      <c r="Q77" s="3"/>
      <c r="R77" s="3"/>
      <c r="S77" s="3"/>
      <c r="T77" s="31" t="s">
        <v>126</v>
      </c>
      <c r="U77" s="52">
        <f>'Referenz Pflasterwerk'!AB20</f>
        <v>0</v>
      </c>
      <c r="V77" s="52">
        <f>S148</f>
        <v>0</v>
      </c>
      <c r="W77" s="52">
        <f>S216</f>
        <v>0</v>
      </c>
      <c r="X77" s="3"/>
      <c r="Y77" s="115"/>
      <c r="Z77" s="115"/>
      <c r="AA77" s="63"/>
    </row>
    <row r="78" spans="2:27" ht="15.75" x14ac:dyDescent="0.3">
      <c r="B78" s="3"/>
      <c r="C78" s="3"/>
      <c r="D78" s="29" t="s">
        <v>35</v>
      </c>
      <c r="E78" s="32">
        <f>'Referenz Pflasterwerk'!$U$28+'Referenz Pflasterwerk'!$U$29</f>
        <v>95.691080159999984</v>
      </c>
      <c r="F78" s="32">
        <f>J157+J158</f>
        <v>95.691080159999984</v>
      </c>
      <c r="G78" s="32">
        <f>J225+J226</f>
        <v>95.691080159999984</v>
      </c>
      <c r="H78" s="25" t="s">
        <v>164</v>
      </c>
      <c r="I78" s="3"/>
      <c r="J78" s="3"/>
      <c r="K78" s="3"/>
      <c r="L78" s="23" t="s">
        <v>193</v>
      </c>
      <c r="M78" s="24"/>
      <c r="N78" s="24"/>
      <c r="O78" s="24"/>
      <c r="P78" s="24"/>
      <c r="Q78" s="3"/>
      <c r="R78" s="3"/>
      <c r="S78" s="3"/>
      <c r="T78" s="31" t="s">
        <v>463</v>
      </c>
      <c r="U78" s="52">
        <f>'Referenz Pflasterwerk'!AB21</f>
        <v>0</v>
      </c>
      <c r="V78" s="52">
        <f>S155</f>
        <v>0</v>
      </c>
      <c r="W78" s="52">
        <f>S223</f>
        <v>0</v>
      </c>
      <c r="X78" s="3"/>
      <c r="Y78" s="115"/>
      <c r="Z78" s="115"/>
      <c r="AA78" s="63"/>
    </row>
    <row r="79" spans="2:27" ht="15.75" thickBot="1" x14ac:dyDescent="0.3">
      <c r="B79" s="3"/>
      <c r="C79" s="3"/>
      <c r="D79" s="27" t="s">
        <v>70</v>
      </c>
      <c r="E79" s="33">
        <f>SUM(E72:E78)</f>
        <v>393.10088015999997</v>
      </c>
      <c r="F79" s="33">
        <f>SUM(F72:F78)</f>
        <v>301.61112593231763</v>
      </c>
      <c r="G79" s="33">
        <f>SUM(G72:G78)</f>
        <v>202.37862808557321</v>
      </c>
      <c r="H79" s="27" t="s">
        <v>165</v>
      </c>
      <c r="I79" s="3"/>
      <c r="J79" s="3"/>
      <c r="K79" s="387" t="s">
        <v>147</v>
      </c>
      <c r="L79" s="34"/>
      <c r="M79" s="46">
        <v>2020</v>
      </c>
      <c r="N79" s="47">
        <v>2025</v>
      </c>
      <c r="O79" s="47">
        <v>2030</v>
      </c>
      <c r="P79" s="34"/>
      <c r="Q79" s="3"/>
      <c r="R79" s="3"/>
      <c r="S79" s="3"/>
      <c r="T79" s="51" t="s">
        <v>35</v>
      </c>
      <c r="U79" s="53">
        <f>'Referenz Pflasterwerk'!AB22</f>
        <v>40464.000000000007</v>
      </c>
      <c r="V79" s="54">
        <f>S157+S158</f>
        <v>40464</v>
      </c>
      <c r="W79" s="54">
        <f>S225+S226</f>
        <v>40464</v>
      </c>
      <c r="X79" s="3"/>
      <c r="Y79" s="115"/>
      <c r="Z79" s="115"/>
      <c r="AA79" s="63"/>
    </row>
    <row r="80" spans="2:27" ht="13.5" thickTop="1" x14ac:dyDescent="0.2">
      <c r="B80" s="3"/>
      <c r="C80" s="3"/>
      <c r="D80" s="3"/>
      <c r="E80" s="3"/>
      <c r="F80" s="3"/>
      <c r="G80" s="3"/>
      <c r="H80" s="3"/>
      <c r="I80" s="3"/>
      <c r="J80" s="3"/>
      <c r="K80" s="387"/>
      <c r="L80" s="24"/>
      <c r="M80" s="48" t="s">
        <v>92</v>
      </c>
      <c r="N80" s="49"/>
      <c r="O80" s="49"/>
      <c r="P80" s="24"/>
      <c r="Q80" s="3"/>
      <c r="R80" s="3"/>
      <c r="S80" s="3"/>
      <c r="T80" s="8" t="s">
        <v>31</v>
      </c>
      <c r="U80" s="55">
        <v>0</v>
      </c>
      <c r="V80" s="55">
        <f>S161</f>
        <v>72000</v>
      </c>
      <c r="W80" s="55">
        <f>S229</f>
        <v>72000</v>
      </c>
      <c r="X80" s="3"/>
      <c r="Y80" s="115"/>
      <c r="Z80" s="115"/>
      <c r="AA80" s="63"/>
    </row>
    <row r="81" spans="2:27" ht="15.75" x14ac:dyDescent="0.3">
      <c r="B81" s="3"/>
      <c r="C81" s="3"/>
      <c r="D81" s="3"/>
      <c r="E81" s="3"/>
      <c r="F81" s="3"/>
      <c r="G81" s="3"/>
      <c r="H81" s="3"/>
      <c r="I81" s="3"/>
      <c r="J81" s="3"/>
      <c r="K81" s="3"/>
      <c r="L81" s="29" t="str">
        <f>C143</f>
        <v>Energieträger gesamt</v>
      </c>
      <c r="M81" s="26">
        <f>SUM('Referenz Pflasterwerk'!S16:S29)</f>
        <v>60.712972560000004</v>
      </c>
      <c r="N81" s="26">
        <f>H143</f>
        <v>47.288431937093691</v>
      </c>
      <c r="O81" s="26">
        <f>H211</f>
        <v>32.74125947788508</v>
      </c>
      <c r="P81" s="25" t="s">
        <v>164</v>
      </c>
      <c r="Q81" s="3"/>
      <c r="R81" s="3"/>
      <c r="S81" s="3"/>
      <c r="T81" s="8" t="s">
        <v>155</v>
      </c>
      <c r="U81" s="55">
        <v>0</v>
      </c>
      <c r="V81" s="55">
        <f>S162</f>
        <v>0</v>
      </c>
      <c r="W81" s="55">
        <f>S230</f>
        <v>0</v>
      </c>
      <c r="X81" s="3"/>
      <c r="Y81" s="115"/>
      <c r="Z81" s="115"/>
      <c r="AA81" s="63"/>
    </row>
    <row r="82" spans="2:27" ht="15.75" x14ac:dyDescent="0.3">
      <c r="B82" s="3"/>
      <c r="C82" s="3"/>
      <c r="D82" s="3"/>
      <c r="E82" s="3"/>
      <c r="F82" s="3"/>
      <c r="G82" s="3"/>
      <c r="H82" s="3"/>
      <c r="I82" s="3"/>
      <c r="J82" s="3"/>
      <c r="K82" s="3"/>
      <c r="L82" s="8" t="str">
        <f>C159</f>
        <v>Transport gesamt</v>
      </c>
      <c r="M82" s="9">
        <f>'Referenz Pflasterwerk'!S32+'Referenz Pflasterwerk'!S33</f>
        <v>578.62626120000004</v>
      </c>
      <c r="N82" s="9">
        <f>H159</f>
        <v>578.62626120000004</v>
      </c>
      <c r="O82" s="9">
        <f>H227</f>
        <v>578.62626120000004</v>
      </c>
      <c r="P82" s="3" t="s">
        <v>164</v>
      </c>
      <c r="Q82" s="3"/>
      <c r="R82" s="3"/>
      <c r="S82" s="3"/>
      <c r="T82" s="59" t="s">
        <v>162</v>
      </c>
      <c r="U82" s="61">
        <v>0</v>
      </c>
      <c r="V82" s="61">
        <f>S163</f>
        <v>0</v>
      </c>
      <c r="W82" s="61">
        <f>S231</f>
        <v>0</v>
      </c>
      <c r="X82" s="3"/>
      <c r="Y82" s="115"/>
      <c r="Z82" s="115"/>
      <c r="AA82" s="63"/>
    </row>
    <row r="83" spans="2:27" ht="15.75" x14ac:dyDescent="0.3">
      <c r="B83" s="3"/>
      <c r="C83" s="3"/>
      <c r="D83" s="3"/>
      <c r="E83" s="3"/>
      <c r="F83" s="3"/>
      <c r="G83" s="3"/>
      <c r="H83" s="3"/>
      <c r="I83" s="3"/>
      <c r="J83" s="3"/>
      <c r="K83" s="3"/>
      <c r="L83" s="29" t="str">
        <f>C163</f>
        <v>Zement</v>
      </c>
      <c r="M83" s="26">
        <f>'Referenz Pflasterwerk'!S35</f>
        <v>7683.24</v>
      </c>
      <c r="N83" s="26">
        <f>H163</f>
        <v>7683.24</v>
      </c>
      <c r="O83" s="26">
        <f>H231</f>
        <v>7683.24</v>
      </c>
      <c r="P83" s="25" t="s">
        <v>164</v>
      </c>
      <c r="Q83" s="3"/>
      <c r="R83" s="3"/>
      <c r="S83" s="3"/>
      <c r="T83" s="57" t="s">
        <v>156</v>
      </c>
      <c r="U83" s="58">
        <f>SUM(U84:U86)</f>
        <v>272843.09601517254</v>
      </c>
      <c r="V83" s="58">
        <f t="shared" ref="V83:W83" si="2">SUM(V84:V86)</f>
        <v>486396.42955903395</v>
      </c>
      <c r="W83" s="58">
        <f t="shared" si="2"/>
        <v>855602.39003602846</v>
      </c>
      <c r="X83" s="3"/>
      <c r="Y83" s="115"/>
      <c r="Z83" s="115"/>
      <c r="AA83" s="63"/>
    </row>
    <row r="84" spans="2:27" ht="15.75" x14ac:dyDescent="0.3">
      <c r="B84" s="3"/>
      <c r="C84" s="3"/>
      <c r="D84" s="3"/>
      <c r="E84" s="3"/>
      <c r="F84" s="3"/>
      <c r="G84" s="3"/>
      <c r="H84" s="3"/>
      <c r="I84" s="3"/>
      <c r="J84" s="3"/>
      <c r="K84" s="3"/>
      <c r="L84" s="8" t="str">
        <f>C169</f>
        <v>Gesteinskörnungen (Zuschlagsstoffe)</v>
      </c>
      <c r="M84" s="9">
        <f>'Referenz Pflasterwerk'!S41</f>
        <v>387.03000000000003</v>
      </c>
      <c r="N84" s="9">
        <f>H169</f>
        <v>387.03000000000003</v>
      </c>
      <c r="O84" s="9">
        <f>H237</f>
        <v>387.03000000000003</v>
      </c>
      <c r="P84" s="3" t="s">
        <v>164</v>
      </c>
      <c r="Q84" s="3"/>
      <c r="R84" s="3"/>
      <c r="S84" s="3"/>
      <c r="T84" s="31" t="s">
        <v>157</v>
      </c>
      <c r="U84" s="52">
        <f>'Referenz Pflasterwerk'!AB26</f>
        <v>2665.0220039999999</v>
      </c>
      <c r="V84" s="52">
        <f>S166</f>
        <v>4767.5831471999991</v>
      </c>
      <c r="W84" s="52">
        <f>S234</f>
        <v>8475.7033727999988</v>
      </c>
      <c r="X84" s="3"/>
      <c r="Y84" s="115"/>
      <c r="Z84" s="115"/>
      <c r="AA84" s="63"/>
    </row>
    <row r="85" spans="2:27" ht="15.75" x14ac:dyDescent="0.3">
      <c r="B85" s="3"/>
      <c r="C85" s="3"/>
      <c r="D85" s="3"/>
      <c r="E85" s="3"/>
      <c r="F85" s="3"/>
      <c r="G85" s="3"/>
      <c r="H85" s="3"/>
      <c r="I85" s="3"/>
      <c r="J85" s="3"/>
      <c r="K85" s="3"/>
      <c r="L85" s="29" t="str">
        <f>D174</f>
        <v>Farben</v>
      </c>
      <c r="M85" s="26">
        <f>'Referenz Pflasterwerk'!S46</f>
        <v>1040</v>
      </c>
      <c r="N85" s="26">
        <f>H174</f>
        <v>1040</v>
      </c>
      <c r="O85" s="26">
        <f>H242</f>
        <v>1040</v>
      </c>
      <c r="P85" s="25" t="s">
        <v>164</v>
      </c>
      <c r="Q85" s="3"/>
      <c r="R85" s="3"/>
      <c r="S85" s="3"/>
      <c r="T85" s="31" t="s">
        <v>158</v>
      </c>
      <c r="U85" s="52">
        <f>'Referenz Pflasterwerk'!AB27</f>
        <v>7162.5</v>
      </c>
      <c r="V85" s="52">
        <f>S167</f>
        <v>8804.9175197542936</v>
      </c>
      <c r="W85" s="52">
        <f>S235</f>
        <v>7714.5868740458573</v>
      </c>
      <c r="X85" s="3"/>
      <c r="Y85" s="115"/>
      <c r="Z85" s="115"/>
      <c r="AA85" s="63"/>
    </row>
    <row r="86" spans="2:27" ht="15.75" x14ac:dyDescent="0.3">
      <c r="B86" s="3"/>
      <c r="C86" s="3"/>
      <c r="D86" s="3"/>
      <c r="E86" s="3"/>
      <c r="F86" s="3"/>
      <c r="G86" s="3"/>
      <c r="H86" s="3"/>
      <c r="I86" s="3"/>
      <c r="J86" s="3"/>
      <c r="K86" s="3"/>
      <c r="L86" s="8" t="str">
        <f>C176</f>
        <v>Zusatzstoffe (Füllstoffe)</v>
      </c>
      <c r="M86" s="9">
        <f>'Referenz Pflasterwerk'!S48</f>
        <v>424.19999999999993</v>
      </c>
      <c r="N86" s="9">
        <f>H176</f>
        <v>424.19999999999993</v>
      </c>
      <c r="O86" s="9">
        <f>H244</f>
        <v>424.19999999999993</v>
      </c>
      <c r="P86" s="3" t="s">
        <v>164</v>
      </c>
      <c r="Q86" s="3"/>
      <c r="R86" s="3"/>
      <c r="S86" s="3"/>
      <c r="T86" s="31" t="s">
        <v>159</v>
      </c>
      <c r="U86" s="52">
        <f>'Referenz Pflasterwerk'!AB28</f>
        <v>263015.57401117252</v>
      </c>
      <c r="V86" s="52">
        <f>S168</f>
        <v>472823.92889207968</v>
      </c>
      <c r="W86" s="52">
        <f>S236</f>
        <v>839412.09978918266</v>
      </c>
      <c r="X86" s="3"/>
      <c r="Y86" s="115"/>
      <c r="Z86" s="115"/>
      <c r="AA86" s="63"/>
    </row>
    <row r="87" spans="2:27" ht="16.5" thickBot="1" x14ac:dyDescent="0.35">
      <c r="B87" s="3"/>
      <c r="C87" s="3"/>
      <c r="D87" s="3"/>
      <c r="E87" s="3"/>
      <c r="F87" s="3"/>
      <c r="G87" s="3"/>
      <c r="H87" s="3"/>
      <c r="I87" s="3"/>
      <c r="J87" s="3"/>
      <c r="K87" s="3"/>
      <c r="L87" s="29" t="str">
        <f>C181</f>
        <v>Zusatzmittel</v>
      </c>
      <c r="M87" s="26">
        <f>'Referenz Pflasterwerk'!S53</f>
        <v>185.55932668689491</v>
      </c>
      <c r="N87" s="26">
        <f>H181</f>
        <v>185.55932668689491</v>
      </c>
      <c r="O87" s="26">
        <f>H249</f>
        <v>185.55932668689491</v>
      </c>
      <c r="P87" s="25" t="s">
        <v>164</v>
      </c>
      <c r="Q87" s="3"/>
      <c r="R87" s="3"/>
      <c r="S87" s="3"/>
      <c r="T87" s="27" t="s">
        <v>70</v>
      </c>
      <c r="U87" s="56">
        <f>U83+U82+U81+U80+U72</f>
        <v>445512.09601517254</v>
      </c>
      <c r="V87" s="56">
        <f t="shared" ref="V87:W87" si="3">V83+V82+V81+V80+V72</f>
        <v>723133.12955903402</v>
      </c>
      <c r="W87" s="56">
        <f t="shared" si="3"/>
        <v>1092339.0900360285</v>
      </c>
      <c r="X87" s="3"/>
      <c r="Y87" s="115"/>
      <c r="Z87" s="115"/>
      <c r="AA87" s="63"/>
    </row>
    <row r="88" spans="2:27" ht="16.5" thickTop="1" x14ac:dyDescent="0.3">
      <c r="B88" s="3"/>
      <c r="C88" s="3"/>
      <c r="D88" s="3"/>
      <c r="E88" s="3"/>
      <c r="F88" s="3"/>
      <c r="G88" s="3"/>
      <c r="H88" s="3"/>
      <c r="I88" s="3"/>
      <c r="J88" s="3"/>
      <c r="K88" s="3"/>
      <c r="L88" s="8" t="s">
        <v>194</v>
      </c>
      <c r="M88" s="9">
        <f>'Referenz Pflasterwerk'!S59+'Referenz Pflasterwerk'!S60</f>
        <v>5.4399999999999997E-2</v>
      </c>
      <c r="N88" s="9">
        <f>H187+H188</f>
        <v>5.4399999999999997E-2</v>
      </c>
      <c r="O88" s="9">
        <f>H255+H256</f>
        <v>5.4399999999999997E-2</v>
      </c>
      <c r="P88" s="3" t="s">
        <v>164</v>
      </c>
      <c r="Q88" s="3"/>
      <c r="R88" s="3"/>
      <c r="S88" s="3"/>
      <c r="T88" s="3"/>
      <c r="U88" s="3"/>
      <c r="V88" s="3"/>
      <c r="W88" s="3"/>
      <c r="X88" s="3"/>
      <c r="Y88" s="63"/>
      <c r="Z88" s="63"/>
      <c r="AA88" s="63"/>
    </row>
    <row r="89" spans="2:27" ht="16.5" thickBot="1" x14ac:dyDescent="0.35">
      <c r="B89" s="3"/>
      <c r="C89" s="3"/>
      <c r="D89" s="3"/>
      <c r="E89" s="3"/>
      <c r="F89" s="3"/>
      <c r="G89" s="3"/>
      <c r="H89" s="3"/>
      <c r="I89" s="3"/>
      <c r="J89" s="3"/>
      <c r="K89" s="3"/>
      <c r="L89" s="29" t="str">
        <f>C190</f>
        <v>Oberflächenschutzsysteme</v>
      </c>
      <c r="M89" s="26">
        <f>'Referenz Pflasterwerk'!S62</f>
        <v>0</v>
      </c>
      <c r="N89" s="26">
        <f>H190</f>
        <v>0</v>
      </c>
      <c r="O89" s="26">
        <f>H258</f>
        <v>0</v>
      </c>
      <c r="P89" s="25" t="s">
        <v>164</v>
      </c>
      <c r="Q89" s="3"/>
      <c r="R89" s="3"/>
      <c r="S89" s="3"/>
      <c r="T89" s="104" t="s">
        <v>211</v>
      </c>
      <c r="U89" s="105">
        <f>U87-U86</f>
        <v>182496.52200400003</v>
      </c>
      <c r="V89" s="105">
        <f>V87-V86</f>
        <v>250309.20066695433</v>
      </c>
      <c r="W89" s="105">
        <f>W87-W86</f>
        <v>252926.99024684587</v>
      </c>
      <c r="X89" s="3"/>
      <c r="Y89" s="3"/>
      <c r="Z89" s="3"/>
      <c r="AA89" s="3"/>
    </row>
    <row r="90" spans="2:27" ht="16.5" thickBot="1" x14ac:dyDescent="0.35">
      <c r="B90" s="3"/>
      <c r="C90" s="3"/>
      <c r="D90" s="3"/>
      <c r="E90" s="3"/>
      <c r="F90" s="3"/>
      <c r="G90" s="3"/>
      <c r="H90" s="3"/>
      <c r="I90" s="3"/>
      <c r="J90" s="3"/>
      <c r="K90" s="3"/>
      <c r="L90" s="8" t="str">
        <f>C195</f>
        <v>Oberflächenbearbeitung (vor/nach Erhärtung)</v>
      </c>
      <c r="M90" s="9">
        <f>'Referenz Pflasterwerk'!S67</f>
        <v>0</v>
      </c>
      <c r="N90" s="9">
        <f>H195</f>
        <v>0</v>
      </c>
      <c r="O90" s="9">
        <f>H263</f>
        <v>0</v>
      </c>
      <c r="P90" s="3" t="s">
        <v>164</v>
      </c>
      <c r="Q90" s="3"/>
      <c r="R90" s="3"/>
      <c r="S90" s="3"/>
      <c r="T90" s="106" t="s">
        <v>161</v>
      </c>
      <c r="U90" s="107">
        <f>U87-U83</f>
        <v>172669</v>
      </c>
      <c r="V90" s="107">
        <f>V87-V83</f>
        <v>236736.70000000007</v>
      </c>
      <c r="W90" s="107">
        <f>W87-W83</f>
        <v>236736.70000000007</v>
      </c>
      <c r="X90" s="3"/>
      <c r="Y90" s="3"/>
      <c r="Z90" s="3"/>
      <c r="AA90" s="3"/>
    </row>
    <row r="91" spans="2:27" ht="15.75" x14ac:dyDescent="0.3">
      <c r="B91" s="3"/>
      <c r="C91" s="3"/>
      <c r="D91" s="3"/>
      <c r="E91" s="3"/>
      <c r="F91" s="3"/>
      <c r="G91" s="3"/>
      <c r="H91" s="3"/>
      <c r="I91" s="3"/>
      <c r="J91" s="3"/>
      <c r="K91" s="3"/>
      <c r="L91" s="29" t="str">
        <f>D200</f>
        <v>Verpackungsmaterial</v>
      </c>
      <c r="M91" s="26">
        <f>'Referenz Pflasterwerk'!S72</f>
        <v>161.20000000000002</v>
      </c>
      <c r="N91" s="26">
        <f>H200</f>
        <v>161.20000000000002</v>
      </c>
      <c r="O91" s="26">
        <f>H268</f>
        <v>161.20000000000002</v>
      </c>
      <c r="P91" s="25" t="s">
        <v>164</v>
      </c>
      <c r="Q91" s="3"/>
      <c r="R91" s="3"/>
      <c r="S91" s="3"/>
      <c r="T91" s="3"/>
      <c r="U91" s="3"/>
      <c r="V91" s="3"/>
      <c r="W91" s="3"/>
      <c r="X91" s="3"/>
      <c r="Y91" s="3"/>
      <c r="Z91" s="3"/>
      <c r="AA91" s="3"/>
    </row>
    <row r="92" spans="2:27" ht="15" thickBot="1" x14ac:dyDescent="0.3">
      <c r="B92" s="3"/>
      <c r="C92" s="3"/>
      <c r="D92" s="3"/>
      <c r="E92" s="3"/>
      <c r="F92" s="3"/>
      <c r="G92" s="3"/>
      <c r="H92" s="3"/>
      <c r="I92" s="3"/>
      <c r="J92" s="3"/>
      <c r="K92" s="3"/>
      <c r="L92" s="27" t="s">
        <v>70</v>
      </c>
      <c r="M92" s="28">
        <f>SUM(M81:M91)</f>
        <v>10520.622960446897</v>
      </c>
      <c r="N92" s="28">
        <f t="shared" ref="N92" si="4">SUM(N81:N91)</f>
        <v>10507.198419823992</v>
      </c>
      <c r="O92" s="28">
        <f>SUM(O81:O91)</f>
        <v>10492.651247364782</v>
      </c>
      <c r="P92" s="27" t="s">
        <v>165</v>
      </c>
      <c r="Q92" s="3"/>
      <c r="R92" s="3"/>
      <c r="S92" s="3"/>
      <c r="T92" s="3"/>
      <c r="U92" s="3"/>
      <c r="V92" s="3"/>
      <c r="W92" s="3"/>
      <c r="X92" s="3"/>
      <c r="Y92" s="3"/>
      <c r="Z92" s="3"/>
      <c r="AA92" s="3"/>
    </row>
    <row r="93" spans="2:27" ht="13.5" thickTop="1" x14ac:dyDescent="0.2">
      <c r="B93" s="3"/>
      <c r="C93" s="3"/>
      <c r="D93" s="3"/>
      <c r="E93" s="3"/>
      <c r="F93" s="3"/>
      <c r="G93" s="3"/>
      <c r="H93" s="3"/>
      <c r="I93" s="3"/>
      <c r="J93" s="3"/>
      <c r="K93" s="3"/>
      <c r="L93" s="8"/>
      <c r="M93" s="82"/>
      <c r="N93" s="82"/>
      <c r="O93" s="82"/>
      <c r="P93" s="8"/>
      <c r="Q93" s="3"/>
      <c r="R93" s="3"/>
      <c r="S93" s="3"/>
      <c r="T93" s="3"/>
      <c r="U93" s="3"/>
      <c r="V93" s="3"/>
      <c r="W93" s="3"/>
      <c r="X93" s="3"/>
      <c r="Y93" s="3"/>
      <c r="Z93" s="3"/>
      <c r="AA93" s="3"/>
    </row>
    <row r="94" spans="2:27" x14ac:dyDescent="0.2">
      <c r="B94" s="3"/>
      <c r="C94" s="3"/>
      <c r="D94" s="3"/>
      <c r="E94" s="3"/>
      <c r="F94" s="3"/>
      <c r="G94" s="3"/>
      <c r="H94" s="3"/>
      <c r="I94" s="3"/>
      <c r="J94" s="3"/>
      <c r="K94" s="3"/>
      <c r="L94" s="8"/>
      <c r="M94" s="82"/>
      <c r="N94" s="82"/>
      <c r="O94" s="82"/>
      <c r="P94" s="8"/>
      <c r="Q94" s="3"/>
      <c r="R94" s="3"/>
      <c r="S94" s="3"/>
      <c r="T94" s="3"/>
      <c r="U94" s="3"/>
      <c r="V94" s="3"/>
      <c r="W94" s="3"/>
      <c r="X94" s="3"/>
      <c r="Y94" s="3"/>
      <c r="Z94" s="3"/>
      <c r="AA94" s="3"/>
    </row>
    <row r="95" spans="2:27" ht="15" x14ac:dyDescent="0.25">
      <c r="B95" s="3"/>
      <c r="C95" s="3"/>
      <c r="D95" s="3"/>
      <c r="E95" s="3"/>
      <c r="F95" s="3"/>
      <c r="G95" s="3"/>
      <c r="H95" s="3"/>
      <c r="I95" s="3"/>
      <c r="J95" s="3"/>
      <c r="K95" s="3"/>
      <c r="L95" s="23" t="s">
        <v>209</v>
      </c>
      <c r="M95" s="3"/>
      <c r="N95" s="3"/>
      <c r="O95" s="3"/>
      <c r="P95" s="3"/>
      <c r="Q95" s="3"/>
      <c r="R95" s="3"/>
      <c r="S95" s="3"/>
      <c r="T95" s="3"/>
      <c r="U95" s="3"/>
      <c r="V95" s="3"/>
      <c r="W95" s="3"/>
      <c r="X95" s="3"/>
      <c r="Y95" s="3"/>
      <c r="Z95" s="3"/>
      <c r="AA95" s="3"/>
    </row>
    <row r="96" spans="2:27" ht="15" x14ac:dyDescent="0.25">
      <c r="B96" s="3"/>
      <c r="C96" s="3"/>
      <c r="D96" s="3"/>
      <c r="E96" s="3"/>
      <c r="F96" s="3"/>
      <c r="G96" s="3"/>
      <c r="H96" s="3"/>
      <c r="I96" s="3"/>
      <c r="J96" s="3"/>
      <c r="K96" s="3"/>
      <c r="L96" s="34"/>
      <c r="M96" s="46">
        <v>2020</v>
      </c>
      <c r="N96" s="47">
        <v>2025</v>
      </c>
      <c r="O96" s="47">
        <v>2030</v>
      </c>
      <c r="P96" s="34"/>
      <c r="Q96" s="3"/>
      <c r="R96" s="3"/>
      <c r="S96" s="3"/>
      <c r="T96" s="3"/>
      <c r="U96" s="3"/>
      <c r="V96" s="3"/>
      <c r="W96" s="3"/>
      <c r="X96" s="3"/>
      <c r="Y96" s="3"/>
      <c r="Z96" s="3"/>
      <c r="AA96" s="3"/>
    </row>
    <row r="97" spans="2:27" x14ac:dyDescent="0.2">
      <c r="B97" s="3"/>
      <c r="C97" s="3"/>
      <c r="D97" s="3"/>
      <c r="E97" s="3"/>
      <c r="F97" s="3"/>
      <c r="G97" s="3"/>
      <c r="H97" s="3"/>
      <c r="I97" s="3"/>
      <c r="J97" s="3"/>
      <c r="K97" s="3"/>
      <c r="L97" s="24"/>
      <c r="M97" s="48" t="s">
        <v>92</v>
      </c>
      <c r="N97" s="49"/>
      <c r="O97" s="49"/>
      <c r="P97" s="24"/>
      <c r="Q97" s="3"/>
      <c r="R97" s="3"/>
      <c r="S97" s="3"/>
      <c r="T97" s="3"/>
      <c r="U97" s="3"/>
      <c r="V97" s="3"/>
      <c r="W97" s="3"/>
      <c r="X97" s="3"/>
      <c r="Y97" s="3"/>
      <c r="Z97" s="3"/>
      <c r="AA97" s="3"/>
    </row>
    <row r="98" spans="2:27" ht="15.75" x14ac:dyDescent="0.3">
      <c r="B98" s="3"/>
      <c r="C98" s="3"/>
      <c r="D98" s="3"/>
      <c r="E98" s="3"/>
      <c r="F98" s="3"/>
      <c r="G98" s="3"/>
      <c r="H98" s="3"/>
      <c r="I98" s="3"/>
      <c r="J98" s="3"/>
      <c r="K98" s="3"/>
      <c r="L98" s="29" t="s">
        <v>118</v>
      </c>
      <c r="M98" s="97">
        <f>M72/IF(NOT(ISBLANK('Referenz Pflasterwerk'!$I$12)),'Referenz Pflasterwerk'!$I$12,'Referenz Pflasterwerk'!$F$12)</f>
        <v>1.0660088015999999E-3</v>
      </c>
      <c r="N98" s="97">
        <f>N72/IF(NOT(ISBLANK('Referenz Pflasterwerk'!$I$12)),'Referenz Pflasterwerk'!$I$12,'Referenz Pflasterwerk'!$F$12)</f>
        <v>1.0594629215999998E-3</v>
      </c>
      <c r="O98" s="97">
        <f>O72/IF(NOT(ISBLANK('Referenz Pflasterwerk'!$I$12)),'Referenz Pflasterwerk'!$I$12,'Referenz Pflasterwerk'!$F$12)</f>
        <v>1.0594629215999998E-3</v>
      </c>
      <c r="P98" s="25" t="s">
        <v>208</v>
      </c>
      <c r="Q98" s="3"/>
      <c r="R98" s="3"/>
      <c r="S98" s="3"/>
      <c r="T98" s="3"/>
      <c r="U98" s="3"/>
      <c r="V98" s="3"/>
      <c r="W98" s="3"/>
      <c r="X98" s="3"/>
      <c r="Y98" s="3"/>
      <c r="Z98" s="3"/>
      <c r="AA98" s="3"/>
    </row>
    <row r="99" spans="2:27" ht="15.75" x14ac:dyDescent="0.3">
      <c r="B99" s="3"/>
      <c r="C99" s="3"/>
      <c r="D99" s="3"/>
      <c r="E99" s="3"/>
      <c r="F99" s="3"/>
      <c r="G99" s="3"/>
      <c r="H99" s="3"/>
      <c r="I99" s="3"/>
      <c r="J99" s="3"/>
      <c r="K99" s="3"/>
      <c r="L99" s="8" t="s">
        <v>28</v>
      </c>
      <c r="M99" s="98">
        <f>M73/IF(NOT(ISBLANK('Referenz Pflasterwerk'!$I$12)),'Referenz Pflasterwerk'!$I$12,'Referenz Pflasterwerk'!$F$12)</f>
        <v>2.8649999999999999E-3</v>
      </c>
      <c r="N99" s="98">
        <f>N73/IF(NOT(ISBLANK('Referenz Pflasterwerk'!$I$12)),'Referenz Pflasterwerk'!$I$12,'Referenz Pflasterwerk'!$F$12)</f>
        <v>1.9566483377231763E-3</v>
      </c>
      <c r="O99" s="98">
        <f>O73/IF(NOT(ISBLANK('Referenz Pflasterwerk'!$I$12)),'Referenz Pflasterwerk'!$I$12,'Referenz Pflasterwerk'!$F$12)</f>
        <v>9.6432335925573215E-4</v>
      </c>
      <c r="P99" s="3" t="s">
        <v>208</v>
      </c>
      <c r="Q99" s="3"/>
      <c r="R99" s="3"/>
      <c r="S99" s="3"/>
      <c r="T99" s="3"/>
      <c r="U99" s="3"/>
      <c r="V99" s="3"/>
      <c r="W99" s="3"/>
      <c r="X99" s="3"/>
      <c r="Y99" s="3"/>
      <c r="Z99" s="3"/>
      <c r="AA99" s="3"/>
    </row>
    <row r="100" spans="2:27" ht="15.75" x14ac:dyDescent="0.3">
      <c r="B100" s="3"/>
      <c r="C100" s="3"/>
      <c r="D100" s="3"/>
      <c r="E100" s="3"/>
      <c r="F100" s="3"/>
      <c r="G100" s="3"/>
      <c r="H100" s="3"/>
      <c r="I100" s="3"/>
      <c r="J100" s="3"/>
      <c r="K100" s="3"/>
      <c r="L100" s="29" t="s">
        <v>29</v>
      </c>
      <c r="M100" s="97">
        <f>M74/IF(NOT(ISBLANK('Referenz Pflasterwerk'!$I$12)),'Referenz Pflasterwerk'!$I$12,'Referenz Pflasterwerk'!$F$12)</f>
        <v>0.10520622960446901</v>
      </c>
      <c r="N100" s="97">
        <f>N74/IF(NOT(ISBLANK('Referenz Pflasterwerk'!$I$12)),'Referenz Pflasterwerk'!$I$12,'Referenz Pflasterwerk'!$F$12)</f>
        <v>0.10507198419823993</v>
      </c>
      <c r="O100" s="97">
        <f>O74/IF(NOT(ISBLANK('Referenz Pflasterwerk'!$I$12)),'Referenz Pflasterwerk'!$I$12,'Referenz Pflasterwerk'!$F$12)</f>
        <v>0.10492651247364783</v>
      </c>
      <c r="P100" s="25" t="s">
        <v>208</v>
      </c>
      <c r="Q100" s="3"/>
      <c r="R100" s="3"/>
      <c r="S100" s="3"/>
      <c r="T100" s="3"/>
      <c r="U100" s="3"/>
      <c r="V100" s="3"/>
      <c r="W100" s="3"/>
      <c r="X100" s="3"/>
      <c r="Y100" s="3"/>
      <c r="Z100" s="3"/>
      <c r="AA100" s="3"/>
    </row>
    <row r="101" spans="2:27" ht="15" thickBot="1" x14ac:dyDescent="0.3">
      <c r="B101" s="3"/>
      <c r="C101" s="3"/>
      <c r="D101" s="3"/>
      <c r="E101" s="3"/>
      <c r="F101" s="3"/>
      <c r="G101" s="3"/>
      <c r="H101" s="3"/>
      <c r="I101" s="3"/>
      <c r="J101" s="3"/>
      <c r="K101" s="3"/>
      <c r="L101" s="27" t="s">
        <v>70</v>
      </c>
      <c r="M101" s="99">
        <f>M75/IF(NOT(ISBLANK('Referenz Pflasterwerk'!$I$12)),'Referenz Pflasterwerk'!$I$12,'Referenz Pflasterwerk'!$F$12)</f>
        <v>0.10913723840606901</v>
      </c>
      <c r="N101" s="99">
        <f>N75/IF(NOT(ISBLANK('Referenz Pflasterwerk'!$I$12)),'Referenz Pflasterwerk'!$I$12,'Referenz Pflasterwerk'!$F$12)</f>
        <v>0.10808809545756311</v>
      </c>
      <c r="O101" s="99">
        <f>O75/IF(NOT(ISBLANK('Referenz Pflasterwerk'!$I$12)),'Referenz Pflasterwerk'!$I$12,'Referenz Pflasterwerk'!$F$12)</f>
        <v>0.10695029875450357</v>
      </c>
      <c r="P101" s="27" t="s">
        <v>210</v>
      </c>
      <c r="Q101" s="3"/>
      <c r="R101" s="3"/>
      <c r="S101" s="3"/>
      <c r="T101" s="3"/>
      <c r="U101" s="3"/>
      <c r="V101" s="3"/>
      <c r="W101" s="3"/>
      <c r="X101" s="3"/>
      <c r="Y101" s="3"/>
      <c r="Z101" s="3"/>
      <c r="AA101" s="3"/>
    </row>
    <row r="102" spans="2:27" ht="13.5" thickTop="1"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2:27"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2:27"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7" spans="2:27" hidden="1" outlineLevel="1"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2:27" ht="15.75" hidden="1" outlineLevel="1" x14ac:dyDescent="0.25">
      <c r="B108" s="3"/>
      <c r="C108" s="3"/>
      <c r="D108" s="62" t="s">
        <v>146</v>
      </c>
      <c r="E108" s="3"/>
      <c r="F108" s="3"/>
      <c r="G108" s="3"/>
      <c r="H108" s="3"/>
      <c r="I108" s="3"/>
      <c r="J108" s="3"/>
      <c r="K108" s="3"/>
      <c r="L108" s="62" t="s">
        <v>146</v>
      </c>
      <c r="M108" s="3"/>
      <c r="N108" s="3"/>
      <c r="O108" s="3"/>
      <c r="P108" s="3"/>
      <c r="Q108" s="3"/>
      <c r="R108" s="3"/>
      <c r="S108" s="62" t="s">
        <v>146</v>
      </c>
      <c r="T108" s="24"/>
      <c r="U108" s="24"/>
      <c r="V108" s="24"/>
      <c r="W108" s="24"/>
      <c r="X108" s="3"/>
      <c r="Y108" s="3"/>
    </row>
    <row r="109" spans="2:27" ht="15" hidden="1" outlineLevel="1" x14ac:dyDescent="0.25">
      <c r="B109" s="3"/>
      <c r="C109" s="3"/>
      <c r="D109" s="35" t="s">
        <v>116</v>
      </c>
      <c r="E109" s="35">
        <v>2020</v>
      </c>
      <c r="F109" s="35">
        <v>2025</v>
      </c>
      <c r="G109" s="35">
        <v>2030</v>
      </c>
      <c r="H109" s="34"/>
      <c r="I109" s="3"/>
      <c r="J109" s="3"/>
      <c r="K109" s="3"/>
      <c r="L109" s="35" t="s">
        <v>265</v>
      </c>
      <c r="M109" s="35">
        <v>2020</v>
      </c>
      <c r="N109" s="35">
        <v>2025</v>
      </c>
      <c r="O109" s="35">
        <v>2030</v>
      </c>
      <c r="P109" s="34"/>
      <c r="Q109" s="3"/>
      <c r="R109" s="3"/>
      <c r="S109" s="3"/>
      <c r="T109" s="46" t="s">
        <v>200</v>
      </c>
      <c r="U109" s="47">
        <v>2020</v>
      </c>
      <c r="V109" s="47">
        <v>2025</v>
      </c>
      <c r="W109" s="47">
        <v>2030</v>
      </c>
      <c r="X109" s="3"/>
      <c r="Y109" s="3"/>
    </row>
    <row r="110" spans="2:27" hidden="1" outlineLevel="1" x14ac:dyDescent="0.2">
      <c r="B110" s="3"/>
      <c r="C110" s="3"/>
      <c r="D110" s="24"/>
      <c r="E110" s="60" t="s">
        <v>92</v>
      </c>
      <c r="F110" s="59"/>
      <c r="G110" s="59"/>
      <c r="H110" s="24"/>
      <c r="I110" s="3"/>
      <c r="J110" s="3"/>
      <c r="K110" s="3"/>
      <c r="L110" s="24"/>
      <c r="M110" s="60" t="s">
        <v>92</v>
      </c>
      <c r="N110" s="59"/>
      <c r="O110" s="59"/>
      <c r="P110" s="24"/>
      <c r="Q110" s="3"/>
      <c r="R110" s="3"/>
      <c r="S110" s="3"/>
      <c r="T110" s="24"/>
      <c r="U110" s="50" t="s">
        <v>92</v>
      </c>
      <c r="V110" s="50"/>
      <c r="W110" s="59"/>
      <c r="X110" s="3"/>
      <c r="Y110" s="3"/>
    </row>
    <row r="111" spans="2:27" ht="15.75" hidden="1" outlineLevel="1" x14ac:dyDescent="0.3">
      <c r="B111" s="3"/>
      <c r="C111" s="3"/>
      <c r="D111" s="3" t="str">
        <f t="shared" ref="D111:D117" si="5">IF($I111,D72,"")</f>
        <v/>
      </c>
      <c r="E111" s="10" t="e">
        <f t="shared" ref="E111:G117" si="6">IF($I111,E72,NA())</f>
        <v>#N/A</v>
      </c>
      <c r="F111" s="10" t="e">
        <f t="shared" si="6"/>
        <v>#N/A</v>
      </c>
      <c r="G111" s="10" t="e">
        <f t="shared" si="6"/>
        <v>#N/A</v>
      </c>
      <c r="H111" s="3" t="s">
        <v>164</v>
      </c>
      <c r="I111" s="361" t="b">
        <v>0</v>
      </c>
      <c r="J111" s="3"/>
      <c r="K111" s="3"/>
      <c r="L111" s="3" t="str">
        <f t="shared" ref="L111:L121" si="7">IF($Q111,L81,"")</f>
        <v>Energieträger gesamt</v>
      </c>
      <c r="M111" s="9">
        <f>IF($Q111,M81,NA())</f>
        <v>60.712972560000004</v>
      </c>
      <c r="N111" s="9">
        <f>IF($Q111,N81,NA())</f>
        <v>47.288431937093691</v>
      </c>
      <c r="O111" s="9">
        <f t="shared" ref="O111" si="8">IF($Q111,O81,NA())</f>
        <v>32.74125947788508</v>
      </c>
      <c r="P111" s="3" t="s">
        <v>164</v>
      </c>
      <c r="Q111" s="3" t="b">
        <v>1</v>
      </c>
      <c r="R111" s="3"/>
      <c r="S111" s="3"/>
      <c r="T111" s="57" t="s">
        <v>160</v>
      </c>
      <c r="U111" s="58">
        <f>SUM(U112:U118)</f>
        <v>172669</v>
      </c>
      <c r="V111" s="58">
        <f t="shared" ref="V111" si="9">SUM(V112:V118)</f>
        <v>164736.70000000001</v>
      </c>
      <c r="W111" s="58">
        <f t="shared" ref="W111" si="10">SUM(W112:W118)</f>
        <v>164736.70000000001</v>
      </c>
      <c r="X111" s="3"/>
      <c r="Y111" s="3"/>
    </row>
    <row r="112" spans="2:27" ht="15.75" hidden="1" outlineLevel="1" x14ac:dyDescent="0.3">
      <c r="B112" s="3"/>
      <c r="C112" s="3"/>
      <c r="D112" s="3" t="str">
        <f t="shared" si="5"/>
        <v/>
      </c>
      <c r="E112" s="10" t="e">
        <f t="shared" si="6"/>
        <v>#N/A</v>
      </c>
      <c r="F112" s="10" t="e">
        <f t="shared" si="6"/>
        <v>#N/A</v>
      </c>
      <c r="G112" s="10" t="e">
        <f t="shared" si="6"/>
        <v>#N/A</v>
      </c>
      <c r="H112" s="3" t="s">
        <v>164</v>
      </c>
      <c r="I112" s="361" t="b">
        <v>0</v>
      </c>
      <c r="J112" s="3"/>
      <c r="K112" s="3"/>
      <c r="L112" s="3" t="str">
        <f t="shared" si="7"/>
        <v>Transport gesamt</v>
      </c>
      <c r="M112" s="9">
        <f t="shared" ref="M112:O112" si="11">IF($Q112,M82,NA())</f>
        <v>578.62626120000004</v>
      </c>
      <c r="N112" s="9">
        <f t="shared" si="11"/>
        <v>578.62626120000004</v>
      </c>
      <c r="O112" s="9">
        <f t="shared" si="11"/>
        <v>578.62626120000004</v>
      </c>
      <c r="P112" s="3" t="s">
        <v>164</v>
      </c>
      <c r="Q112" s="3" t="b">
        <v>1</v>
      </c>
      <c r="R112" s="3"/>
      <c r="S112" s="3"/>
      <c r="T112" s="31" t="s">
        <v>32</v>
      </c>
      <c r="U112" s="52">
        <f>U73</f>
        <v>2745</v>
      </c>
      <c r="V112" s="52">
        <f t="shared" ref="V112:W112" si="12">V73</f>
        <v>2580.3000000000002</v>
      </c>
      <c r="W112" s="52">
        <f t="shared" si="12"/>
        <v>2580.3000000000002</v>
      </c>
      <c r="X112" s="3"/>
      <c r="Y112" s="3"/>
    </row>
    <row r="113" spans="2:25" ht="15.75" hidden="1" outlineLevel="1" x14ac:dyDescent="0.3">
      <c r="B113" s="3"/>
      <c r="C113" s="3"/>
      <c r="D113" s="3" t="str">
        <f t="shared" si="5"/>
        <v>Strom</v>
      </c>
      <c r="E113" s="10">
        <f t="shared" si="6"/>
        <v>286.5</v>
      </c>
      <c r="F113" s="10">
        <f t="shared" si="6"/>
        <v>195.66483377231765</v>
      </c>
      <c r="G113" s="10">
        <f t="shared" si="6"/>
        <v>96.432335925573213</v>
      </c>
      <c r="H113" s="3" t="s">
        <v>164</v>
      </c>
      <c r="I113" s="361" t="b">
        <v>1</v>
      </c>
      <c r="J113" s="3"/>
      <c r="K113" s="3"/>
      <c r="L113" s="3" t="str">
        <f t="shared" si="7"/>
        <v>Zement</v>
      </c>
      <c r="M113" s="9">
        <f t="shared" ref="M113:O113" si="13">IF($Q113,M83,NA())</f>
        <v>7683.24</v>
      </c>
      <c r="N113" s="9">
        <f t="shared" si="13"/>
        <v>7683.24</v>
      </c>
      <c r="O113" s="9">
        <f t="shared" si="13"/>
        <v>7683.24</v>
      </c>
      <c r="P113" s="3" t="s">
        <v>164</v>
      </c>
      <c r="Q113" s="3" t="b">
        <v>1</v>
      </c>
      <c r="R113" s="3"/>
      <c r="S113" s="3"/>
      <c r="T113" s="31" t="s">
        <v>33</v>
      </c>
      <c r="U113" s="52">
        <f t="shared" ref="U113:W113" si="14">U74</f>
        <v>460</v>
      </c>
      <c r="V113" s="52">
        <f t="shared" si="14"/>
        <v>432.4</v>
      </c>
      <c r="W113" s="52">
        <f t="shared" si="14"/>
        <v>432.4</v>
      </c>
      <c r="X113" s="3"/>
      <c r="Y113" s="3"/>
    </row>
    <row r="114" spans="2:25" ht="15.75" hidden="1" outlineLevel="1" x14ac:dyDescent="0.3">
      <c r="B114" s="3"/>
      <c r="C114" s="3"/>
      <c r="D114" s="3" t="str">
        <f t="shared" si="5"/>
        <v/>
      </c>
      <c r="E114" s="10" t="e">
        <f t="shared" si="6"/>
        <v>#N/A</v>
      </c>
      <c r="F114" s="10" t="e">
        <f t="shared" si="6"/>
        <v>#N/A</v>
      </c>
      <c r="G114" s="10" t="e">
        <f t="shared" si="6"/>
        <v>#N/A</v>
      </c>
      <c r="H114" s="3" t="s">
        <v>164</v>
      </c>
      <c r="I114" s="361" t="b">
        <v>0</v>
      </c>
      <c r="J114" s="3"/>
      <c r="K114" s="3"/>
      <c r="L114" s="3" t="str">
        <f t="shared" si="7"/>
        <v>Gesteinskörnungen (Zuschlagsstoffe)</v>
      </c>
      <c r="M114" s="9">
        <f t="shared" ref="M114:O114" si="15">IF($Q114,M84,NA())</f>
        <v>387.03000000000003</v>
      </c>
      <c r="N114" s="9">
        <f t="shared" si="15"/>
        <v>387.03000000000003</v>
      </c>
      <c r="O114" s="9">
        <f t="shared" si="15"/>
        <v>387.03000000000003</v>
      </c>
      <c r="P114" s="3" t="s">
        <v>164</v>
      </c>
      <c r="Q114" s="3" t="b">
        <v>1</v>
      </c>
      <c r="R114" s="3"/>
      <c r="S114" s="3"/>
      <c r="T114" s="31" t="s">
        <v>34</v>
      </c>
      <c r="U114" s="52">
        <f t="shared" ref="U114:W114" si="16">U75</f>
        <v>129000</v>
      </c>
      <c r="V114" s="52">
        <f t="shared" si="16"/>
        <v>121260</v>
      </c>
      <c r="W114" s="52">
        <f t="shared" si="16"/>
        <v>121260</v>
      </c>
      <c r="X114" s="3"/>
      <c r="Y114" s="3"/>
    </row>
    <row r="115" spans="2:25" ht="15.75" hidden="1" outlineLevel="1" x14ac:dyDescent="0.3">
      <c r="B115" s="3"/>
      <c r="C115" s="3"/>
      <c r="D115" s="3" t="str">
        <f t="shared" si="5"/>
        <v/>
      </c>
      <c r="E115" s="10" t="e">
        <f t="shared" si="6"/>
        <v>#N/A</v>
      </c>
      <c r="F115" s="10" t="e">
        <f t="shared" si="6"/>
        <v>#N/A</v>
      </c>
      <c r="G115" s="10" t="e">
        <f t="shared" si="6"/>
        <v>#N/A</v>
      </c>
      <c r="H115" s="3" t="s">
        <v>164</v>
      </c>
      <c r="I115" s="361" t="b">
        <v>0</v>
      </c>
      <c r="J115" s="3"/>
      <c r="K115" s="3"/>
      <c r="L115" s="3" t="str">
        <f t="shared" si="7"/>
        <v>Farben</v>
      </c>
      <c r="M115" s="9">
        <f t="shared" ref="M115:O115" si="17">IF($Q115,M85,NA())</f>
        <v>1040</v>
      </c>
      <c r="N115" s="9">
        <f t="shared" si="17"/>
        <v>1040</v>
      </c>
      <c r="O115" s="9">
        <f t="shared" si="17"/>
        <v>1040</v>
      </c>
      <c r="P115" s="3" t="s">
        <v>164</v>
      </c>
      <c r="Q115" s="3" t="b">
        <v>1</v>
      </c>
      <c r="R115" s="3"/>
      <c r="S115" s="3"/>
      <c r="T115" s="31" t="s">
        <v>125</v>
      </c>
      <c r="U115" s="52">
        <f t="shared" ref="U115:W115" si="18">U76</f>
        <v>0</v>
      </c>
      <c r="V115" s="52">
        <f t="shared" si="18"/>
        <v>0</v>
      </c>
      <c r="W115" s="52">
        <f t="shared" si="18"/>
        <v>0</v>
      </c>
      <c r="X115" s="3"/>
      <c r="Y115" s="3"/>
    </row>
    <row r="116" spans="2:25" ht="15.75" hidden="1" outlineLevel="1" x14ac:dyDescent="0.3">
      <c r="B116" s="3"/>
      <c r="C116" s="3"/>
      <c r="D116" s="3" t="str">
        <f t="shared" si="5"/>
        <v/>
      </c>
      <c r="E116" s="10" t="e">
        <f t="shared" si="6"/>
        <v>#N/A</v>
      </c>
      <c r="F116" s="10" t="e">
        <f t="shared" si="6"/>
        <v>#N/A</v>
      </c>
      <c r="G116" s="10" t="e">
        <f t="shared" si="6"/>
        <v>#N/A</v>
      </c>
      <c r="H116" s="3" t="s">
        <v>164</v>
      </c>
      <c r="I116" s="361" t="b">
        <v>0</v>
      </c>
      <c r="J116" s="3"/>
      <c r="K116" s="3"/>
      <c r="L116" s="3" t="str">
        <f t="shared" si="7"/>
        <v>Zusatzstoffe (Füllstoffe)</v>
      </c>
      <c r="M116" s="9">
        <f t="shared" ref="M116:O116" si="19">IF($Q116,M86,NA())</f>
        <v>424.19999999999993</v>
      </c>
      <c r="N116" s="9">
        <f t="shared" si="19"/>
        <v>424.19999999999993</v>
      </c>
      <c r="O116" s="9">
        <f t="shared" si="19"/>
        <v>424.19999999999993</v>
      </c>
      <c r="P116" s="3" t="s">
        <v>164</v>
      </c>
      <c r="Q116" s="3" t="b">
        <v>1</v>
      </c>
      <c r="R116" s="3"/>
      <c r="S116" s="3"/>
      <c r="T116" s="31" t="s">
        <v>126</v>
      </c>
      <c r="U116" s="52">
        <f t="shared" ref="U116:W116" si="20">U77</f>
        <v>0</v>
      </c>
      <c r="V116" s="52">
        <f t="shared" si="20"/>
        <v>0</v>
      </c>
      <c r="W116" s="52">
        <f t="shared" si="20"/>
        <v>0</v>
      </c>
      <c r="X116" s="3"/>
      <c r="Y116" s="3"/>
    </row>
    <row r="117" spans="2:25" ht="15.75" hidden="1" outlineLevel="1" x14ac:dyDescent="0.3">
      <c r="B117" s="3"/>
      <c r="C117" s="3"/>
      <c r="D117" s="3" t="str">
        <f t="shared" si="5"/>
        <v/>
      </c>
      <c r="E117" s="10" t="e">
        <f t="shared" si="6"/>
        <v>#N/A</v>
      </c>
      <c r="F117" s="10" t="e">
        <f t="shared" si="6"/>
        <v>#N/A</v>
      </c>
      <c r="G117" s="10" t="e">
        <f t="shared" si="6"/>
        <v>#N/A</v>
      </c>
      <c r="H117" s="3" t="s">
        <v>164</v>
      </c>
      <c r="I117" s="361" t="b">
        <v>0</v>
      </c>
      <c r="J117" s="3"/>
      <c r="K117" s="3"/>
      <c r="L117" s="3" t="str">
        <f t="shared" si="7"/>
        <v>Zusatzmittel</v>
      </c>
      <c r="M117" s="9">
        <f t="shared" ref="M117:O117" si="21">IF($Q117,M87,NA())</f>
        <v>185.55932668689491</v>
      </c>
      <c r="N117" s="9">
        <f t="shared" si="21"/>
        <v>185.55932668689491</v>
      </c>
      <c r="O117" s="9">
        <f t="shared" si="21"/>
        <v>185.55932668689491</v>
      </c>
      <c r="P117" s="3" t="s">
        <v>164</v>
      </c>
      <c r="Q117" s="3" t="b">
        <v>1</v>
      </c>
      <c r="R117" s="3"/>
      <c r="S117" s="3"/>
      <c r="T117" s="31" t="s">
        <v>127</v>
      </c>
      <c r="U117" s="52">
        <f t="shared" ref="U117:W117" si="22">U78</f>
        <v>0</v>
      </c>
      <c r="V117" s="52">
        <f t="shared" si="22"/>
        <v>0</v>
      </c>
      <c r="W117" s="52">
        <f t="shared" si="22"/>
        <v>0</v>
      </c>
      <c r="X117" s="3"/>
      <c r="Y117" s="3"/>
    </row>
    <row r="118" spans="2:25" ht="16.5" hidden="1" outlineLevel="1" thickBot="1" x14ac:dyDescent="0.35">
      <c r="B118" s="3"/>
      <c r="C118" s="3"/>
      <c r="D118" s="27" t="s">
        <v>70</v>
      </c>
      <c r="E118" s="33">
        <f>SUMIF($I$111:$I$117,"WAHR",E111:E117)</f>
        <v>286.5</v>
      </c>
      <c r="F118" s="33">
        <f>SUMIF($I$111:$I$117,"WAHR",F111:F117)</f>
        <v>195.66483377231765</v>
      </c>
      <c r="G118" s="33">
        <f>SUMIF($I$111:$I$117,"WAHR",G111:G117)</f>
        <v>96.432335925573213</v>
      </c>
      <c r="H118" s="27" t="s">
        <v>165</v>
      </c>
      <c r="I118" s="3"/>
      <c r="J118" s="3"/>
      <c r="K118" s="3"/>
      <c r="L118" s="3" t="str">
        <f t="shared" si="7"/>
        <v/>
      </c>
      <c r="M118" s="9" t="e">
        <f t="shared" ref="M118:O118" si="23">IF($Q118,M88,NA())</f>
        <v>#N/A</v>
      </c>
      <c r="N118" s="9" t="e">
        <f t="shared" si="23"/>
        <v>#N/A</v>
      </c>
      <c r="O118" s="9" t="e">
        <f t="shared" si="23"/>
        <v>#N/A</v>
      </c>
      <c r="P118" s="3" t="s">
        <v>164</v>
      </c>
      <c r="Q118" s="3" t="b">
        <v>0</v>
      </c>
      <c r="R118" s="3"/>
      <c r="S118" s="3"/>
      <c r="T118" s="51" t="s">
        <v>35</v>
      </c>
      <c r="U118" s="53">
        <f t="shared" ref="U118:W118" si="24">U79</f>
        <v>40464.000000000007</v>
      </c>
      <c r="V118" s="54">
        <f t="shared" si="24"/>
        <v>40464</v>
      </c>
      <c r="W118" s="54">
        <f t="shared" si="24"/>
        <v>40464</v>
      </c>
      <c r="X118" s="3"/>
      <c r="Y118" s="3"/>
    </row>
    <row r="119" spans="2:25" ht="16.5" hidden="1" outlineLevel="1" thickTop="1" x14ac:dyDescent="0.3">
      <c r="B119" s="3"/>
      <c r="C119" s="3"/>
      <c r="D119" s="3"/>
      <c r="E119" s="3"/>
      <c r="F119" s="3"/>
      <c r="G119" s="3"/>
      <c r="H119" s="3"/>
      <c r="I119" s="3"/>
      <c r="J119" s="3"/>
      <c r="K119" s="3"/>
      <c r="L119" s="3" t="str">
        <f t="shared" si="7"/>
        <v/>
      </c>
      <c r="M119" s="9" t="e">
        <f t="shared" ref="M119:O119" si="25">IF($Q119,M89,NA())</f>
        <v>#N/A</v>
      </c>
      <c r="N119" s="9" t="e">
        <f t="shared" si="25"/>
        <v>#N/A</v>
      </c>
      <c r="O119" s="9" t="e">
        <f t="shared" si="25"/>
        <v>#N/A</v>
      </c>
      <c r="P119" s="3" t="s">
        <v>164</v>
      </c>
      <c r="Q119" s="3" t="b">
        <v>0</v>
      </c>
      <c r="R119" s="3"/>
      <c r="S119" s="3"/>
      <c r="T119" s="8" t="str">
        <f>IF(X119,"CAPEX","")</f>
        <v>CAPEX</v>
      </c>
      <c r="U119" s="55">
        <f>IF($X119,U80,NA())</f>
        <v>0</v>
      </c>
      <c r="V119" s="55">
        <f t="shared" ref="V119:W119" si="26">IF($X119,V80,NA())</f>
        <v>72000</v>
      </c>
      <c r="W119" s="55">
        <f t="shared" si="26"/>
        <v>72000</v>
      </c>
      <c r="X119" s="361" t="b">
        <v>1</v>
      </c>
      <c r="Y119" s="3"/>
    </row>
    <row r="120" spans="2:25" ht="15.75" hidden="1" outlineLevel="1" x14ac:dyDescent="0.3">
      <c r="B120" s="3"/>
      <c r="C120" s="3"/>
      <c r="D120" s="3"/>
      <c r="E120" s="3"/>
      <c r="F120" s="3"/>
      <c r="G120" s="3"/>
      <c r="H120" s="3"/>
      <c r="I120" s="3"/>
      <c r="J120" s="3"/>
      <c r="K120" s="3"/>
      <c r="L120" s="3" t="str">
        <f t="shared" si="7"/>
        <v/>
      </c>
      <c r="M120" s="9" t="e">
        <f t="shared" ref="M120:O120" si="27">IF($Q120,M90,NA())</f>
        <v>#N/A</v>
      </c>
      <c r="N120" s="9" t="e">
        <f t="shared" si="27"/>
        <v>#N/A</v>
      </c>
      <c r="O120" s="9" t="e">
        <f t="shared" si="27"/>
        <v>#N/A</v>
      </c>
      <c r="P120" s="3" t="s">
        <v>164</v>
      </c>
      <c r="Q120" s="3" t="b">
        <v>0</v>
      </c>
      <c r="R120" s="3"/>
      <c r="S120" s="3"/>
      <c r="T120" s="8" t="str">
        <f>IF(X120,"Zusätzliche jährliche Kosten","")</f>
        <v>Zusätzliche jährliche Kosten</v>
      </c>
      <c r="U120" s="55">
        <f>IF($X120,U81,NA())</f>
        <v>0</v>
      </c>
      <c r="V120" s="55">
        <f t="shared" ref="V120:W120" si="28">IF($X120,V81,NA())</f>
        <v>0</v>
      </c>
      <c r="W120" s="55">
        <f t="shared" si="28"/>
        <v>0</v>
      </c>
      <c r="X120" s="361" t="b">
        <v>1</v>
      </c>
      <c r="Y120" s="3"/>
    </row>
    <row r="121" spans="2:25" ht="15.75" hidden="1" outlineLevel="1" x14ac:dyDescent="0.3">
      <c r="B121" s="3"/>
      <c r="C121" s="3"/>
      <c r="D121" s="3"/>
      <c r="E121" s="3"/>
      <c r="F121" s="3"/>
      <c r="G121" s="3"/>
      <c r="H121" s="3"/>
      <c r="I121" s="3"/>
      <c r="J121" s="3"/>
      <c r="K121" s="3"/>
      <c r="L121" s="3" t="str">
        <f t="shared" si="7"/>
        <v>Verpackungsmaterial</v>
      </c>
      <c r="M121" s="9">
        <f t="shared" ref="M121:O121" si="29">IF($Q121,M91,NA())</f>
        <v>161.20000000000002</v>
      </c>
      <c r="N121" s="9">
        <f t="shared" si="29"/>
        <v>161.20000000000002</v>
      </c>
      <c r="O121" s="9">
        <f t="shared" si="29"/>
        <v>161.20000000000002</v>
      </c>
      <c r="P121" s="3" t="s">
        <v>164</v>
      </c>
      <c r="Q121" s="3" t="b">
        <v>1</v>
      </c>
      <c r="R121" s="3"/>
      <c r="S121" s="3"/>
      <c r="T121" s="59" t="str">
        <f>IF(X121,"Einmalige Kosten","")</f>
        <v/>
      </c>
      <c r="U121" s="55" t="e">
        <f>IF($X121,U82,NA())</f>
        <v>#N/A</v>
      </c>
      <c r="V121" s="55" t="e">
        <f t="shared" ref="V121:W121" si="30">IF($X121,V82,NA())</f>
        <v>#N/A</v>
      </c>
      <c r="W121" s="55" t="e">
        <f t="shared" si="30"/>
        <v>#N/A</v>
      </c>
      <c r="X121" s="361" t="b">
        <v>0</v>
      </c>
      <c r="Y121" s="3"/>
    </row>
    <row r="122" spans="2:25" ht="15" hidden="1" outlineLevel="1" thickBot="1" x14ac:dyDescent="0.3">
      <c r="B122" s="3"/>
      <c r="C122" s="3"/>
      <c r="D122" s="3"/>
      <c r="E122" s="3"/>
      <c r="F122" s="3"/>
      <c r="G122" s="3"/>
      <c r="H122" s="3"/>
      <c r="I122" s="3"/>
      <c r="J122" s="3"/>
      <c r="K122" s="3"/>
      <c r="L122" s="27" t="s">
        <v>70</v>
      </c>
      <c r="M122" s="28">
        <f>SUMIF($Q$111:$Q$121,"WAHR",M111:M121)</f>
        <v>10520.568560446896</v>
      </c>
      <c r="N122" s="28">
        <f t="shared" ref="N122:O122" si="31">SUMIF($Q$111:$Q$121,"WAHR",N111:N121)</f>
        <v>10507.144019823991</v>
      </c>
      <c r="O122" s="28">
        <f t="shared" si="31"/>
        <v>10492.596847364781</v>
      </c>
      <c r="P122" s="27" t="s">
        <v>165</v>
      </c>
      <c r="Q122" s="3"/>
      <c r="R122" s="3"/>
      <c r="S122" s="3"/>
      <c r="T122" s="57" t="str">
        <f>IF(X122,"CO2-Kosten","")</f>
        <v>CO2-Kosten</v>
      </c>
      <c r="U122" s="58">
        <f>IF($X$122,SUMIF($X$123:$X$125,"WAHR",U123:U125),NA())</f>
        <v>272843.09601517254</v>
      </c>
      <c r="V122" s="58">
        <f t="shared" ref="V122:W122" si="32">IF($X$122,SUMIF($X$123:$X$125,"WAHR",V123:V125),NA())</f>
        <v>486396.42955903395</v>
      </c>
      <c r="W122" s="58">
        <f t="shared" si="32"/>
        <v>855602.39003602846</v>
      </c>
      <c r="X122" s="361" t="b">
        <v>1</v>
      </c>
      <c r="Y122" s="3"/>
    </row>
    <row r="123" spans="2:25" ht="16.5" hidden="1" outlineLevel="1" thickTop="1" x14ac:dyDescent="0.3">
      <c r="B123" s="3"/>
      <c r="C123" s="3"/>
      <c r="D123" s="3"/>
      <c r="E123" s="3"/>
      <c r="F123" s="3"/>
      <c r="G123" s="3"/>
      <c r="H123" s="3"/>
      <c r="I123" s="3"/>
      <c r="J123" s="3"/>
      <c r="K123" s="3"/>
      <c r="L123" s="3"/>
      <c r="M123" s="3"/>
      <c r="N123" s="3"/>
      <c r="O123" s="3"/>
      <c r="P123" s="3"/>
      <c r="Q123" s="3"/>
      <c r="R123" s="3"/>
      <c r="S123" s="3"/>
      <c r="T123" s="31" t="s">
        <v>157</v>
      </c>
      <c r="U123" s="52">
        <f>IF($X123,U84,NA())</f>
        <v>2665.0220039999999</v>
      </c>
      <c r="V123" s="52">
        <f t="shared" ref="V123:W123" si="33">IF($X123,V84,NA())</f>
        <v>4767.5831471999991</v>
      </c>
      <c r="W123" s="52">
        <f t="shared" si="33"/>
        <v>8475.7033727999988</v>
      </c>
      <c r="X123" s="361" t="b">
        <v>1</v>
      </c>
      <c r="Y123" s="3"/>
    </row>
    <row r="124" spans="2:25" ht="15.75" hidden="1" outlineLevel="1" x14ac:dyDescent="0.3">
      <c r="B124" s="3"/>
      <c r="C124" s="3"/>
      <c r="D124" s="3"/>
      <c r="E124" s="3"/>
      <c r="F124" s="3"/>
      <c r="G124" s="3"/>
      <c r="H124" s="3"/>
      <c r="I124" s="3"/>
      <c r="J124" s="3"/>
      <c r="K124" s="3"/>
      <c r="L124" s="3"/>
      <c r="M124" s="3"/>
      <c r="N124" s="3"/>
      <c r="O124" s="3"/>
      <c r="P124" s="3"/>
      <c r="Q124" s="3"/>
      <c r="R124" s="3"/>
      <c r="S124" s="3"/>
      <c r="T124" s="31" t="s">
        <v>158</v>
      </c>
      <c r="U124" s="52">
        <f t="shared" ref="U124:W124" si="34">IF($X124,U85,NA())</f>
        <v>7162.5</v>
      </c>
      <c r="V124" s="52">
        <f t="shared" si="34"/>
        <v>8804.9175197542936</v>
      </c>
      <c r="W124" s="52">
        <f t="shared" si="34"/>
        <v>7714.5868740458573</v>
      </c>
      <c r="X124" s="361" t="b">
        <v>1</v>
      </c>
      <c r="Y124" s="3"/>
    </row>
    <row r="125" spans="2:25" ht="15.75" hidden="1" outlineLevel="1" x14ac:dyDescent="0.3">
      <c r="B125" s="3"/>
      <c r="C125" s="3"/>
      <c r="D125" s="3"/>
      <c r="E125" s="3"/>
      <c r="F125" s="3"/>
      <c r="G125" s="3"/>
      <c r="H125" s="3"/>
      <c r="I125" s="3"/>
      <c r="J125" s="3"/>
      <c r="K125" s="3"/>
      <c r="L125" s="3"/>
      <c r="M125" s="3"/>
      <c r="N125" s="3"/>
      <c r="O125" s="3"/>
      <c r="P125" s="3"/>
      <c r="Q125" s="3"/>
      <c r="R125" s="3"/>
      <c r="S125" s="3"/>
      <c r="T125" s="31" t="s">
        <v>159</v>
      </c>
      <c r="U125" s="52">
        <f t="shared" ref="U125:W125" si="35">IF($X125,U86,NA())</f>
        <v>263015.57401117252</v>
      </c>
      <c r="V125" s="52">
        <f t="shared" si="35"/>
        <v>472823.92889207968</v>
      </c>
      <c r="W125" s="52">
        <f t="shared" si="35"/>
        <v>839412.09978918266</v>
      </c>
      <c r="X125" s="361" t="b">
        <v>1</v>
      </c>
      <c r="Y125" s="3"/>
    </row>
    <row r="126" spans="2:25" ht="13.5" hidden="1" outlineLevel="1" thickBot="1" x14ac:dyDescent="0.25">
      <c r="B126" s="3"/>
      <c r="C126" s="3"/>
      <c r="D126" s="102" t="str">
        <f>IF(AND($G$16&gt;0,K16&lt;G16),"Bitte den Handeingabewert 'Reduktion' für 2030 auch anpassen. Dieser muss dem Werte Ihrer Handeingabe 2025 entsprechen, sollte nur eine Maßnahme in 2025 umgesetzt werden.","")</f>
        <v/>
      </c>
      <c r="E126" s="3"/>
      <c r="F126" s="3"/>
      <c r="G126" s="3"/>
      <c r="H126" s="3"/>
      <c r="I126" s="3"/>
      <c r="J126" s="3"/>
      <c r="K126" s="3"/>
      <c r="L126" s="3"/>
      <c r="M126" s="3"/>
      <c r="N126" s="3"/>
      <c r="O126" s="3"/>
      <c r="P126" s="3"/>
      <c r="Q126" s="3"/>
      <c r="R126" s="3"/>
      <c r="S126" s="3"/>
      <c r="T126" s="27" t="s">
        <v>70</v>
      </c>
      <c r="U126" s="56">
        <f>IF($X$122,U122,0)+IF($X$121,U121,0)+IF($X$120,U120,0)+IF($X$119,U119,0)+U111</f>
        <v>445512.09601517254</v>
      </c>
      <c r="V126" s="56">
        <f t="shared" ref="V126:W126" si="36">IF($X$122,V122,0)+IF($X$121,V121,0)+IF($X$120,V120,0)+IF($X$119,V119,0)+V111</f>
        <v>723133.12955903402</v>
      </c>
      <c r="W126" s="56">
        <f t="shared" si="36"/>
        <v>1092339.0900360285</v>
      </c>
      <c r="X126" s="3"/>
      <c r="Y126" s="3"/>
    </row>
    <row r="127" spans="2:25" ht="13.5" hidden="1" outlineLevel="1" thickTop="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hidden="1" outlineLevel="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5" hidden="1" outlineLevel="1"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2:25" hidden="1" outlineLevel="1"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2:25" hidden="1" outlineLevel="1"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2:25" hidden="1" outlineLevel="1"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2:25" hidden="1" outlineLevel="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hidden="1" outlineLevel="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collapsed="1" x14ac:dyDescent="0.2"/>
    <row r="137" spans="2:25" ht="15.75" hidden="1" outlineLevel="1" x14ac:dyDescent="0.25">
      <c r="B137" s="22"/>
      <c r="C137" s="22" t="s">
        <v>117</v>
      </c>
      <c r="D137" s="17"/>
      <c r="E137" s="17"/>
      <c r="F137" s="17"/>
      <c r="G137" s="17"/>
      <c r="H137" s="17"/>
      <c r="I137" s="17"/>
      <c r="J137" s="17"/>
      <c r="K137" s="17"/>
      <c r="L137" s="17"/>
      <c r="N137" s="22" t="s">
        <v>120</v>
      </c>
      <c r="O137" s="17"/>
      <c r="P137" s="17"/>
      <c r="Q137" s="17"/>
      <c r="R137" s="17"/>
      <c r="S137" s="17"/>
      <c r="T137" s="17"/>
    </row>
    <row r="138" spans="2:25" ht="15" hidden="1" outlineLevel="1" x14ac:dyDescent="0.25">
      <c r="B138" s="64"/>
      <c r="C138" s="64">
        <v>2025</v>
      </c>
      <c r="D138" s="17"/>
      <c r="E138" s="17"/>
      <c r="F138" s="17"/>
      <c r="G138" s="17"/>
      <c r="H138" s="17"/>
      <c r="I138" s="17"/>
      <c r="J138" s="17"/>
      <c r="K138" s="17"/>
      <c r="L138" s="17"/>
      <c r="N138" s="64">
        <v>2025</v>
      </c>
      <c r="O138" s="17"/>
      <c r="P138" s="17"/>
      <c r="Q138" s="17"/>
      <c r="R138" s="17"/>
      <c r="S138" s="17"/>
      <c r="T138" s="17"/>
    </row>
    <row r="139" spans="2:25" hidden="1" outlineLevel="1" x14ac:dyDescent="0.2">
      <c r="B139" s="17"/>
      <c r="C139" s="17"/>
      <c r="D139" s="17" t="s">
        <v>207</v>
      </c>
      <c r="E139" s="39">
        <f>(1-(IF(NOT(ISBLANK($G16)),$G16/100,$E16/100)))</f>
        <v>0.7</v>
      </c>
      <c r="F139" s="17"/>
      <c r="G139" s="17"/>
      <c r="H139" s="17"/>
      <c r="I139" s="17"/>
      <c r="J139" s="17"/>
      <c r="K139" s="17"/>
      <c r="L139" s="17"/>
      <c r="N139" s="21"/>
      <c r="O139" s="17"/>
      <c r="P139" s="17"/>
      <c r="Q139" s="17"/>
      <c r="R139" s="17"/>
      <c r="S139" s="17"/>
      <c r="T139" s="17"/>
    </row>
    <row r="140" spans="2:25" hidden="1" outlineLevel="1" x14ac:dyDescent="0.2">
      <c r="B140" s="17"/>
      <c r="C140" s="17"/>
      <c r="D140" s="17"/>
      <c r="E140" s="17"/>
      <c r="F140" s="20"/>
      <c r="G140" s="20"/>
      <c r="H140" s="20"/>
      <c r="I140" s="17"/>
      <c r="J140" s="17"/>
      <c r="K140" s="17"/>
      <c r="L140" s="17"/>
      <c r="N140" s="17"/>
      <c r="O140" s="17"/>
      <c r="P140" s="17"/>
      <c r="Q140" s="17"/>
      <c r="R140" s="17"/>
      <c r="S140" s="17"/>
      <c r="T140" s="17"/>
    </row>
    <row r="141" spans="2:25" hidden="1" outlineLevel="1" x14ac:dyDescent="0.2">
      <c r="B141" s="17"/>
      <c r="C141" s="17"/>
      <c r="D141" s="17"/>
      <c r="E141" s="17"/>
      <c r="F141" s="20"/>
      <c r="G141" s="20"/>
      <c r="H141" s="20"/>
      <c r="I141" s="17"/>
      <c r="J141" s="17"/>
      <c r="K141" s="17"/>
      <c r="L141" s="17"/>
      <c r="N141" s="17"/>
      <c r="O141" s="17"/>
      <c r="P141" s="17"/>
      <c r="Q141" s="17"/>
      <c r="R141" s="17"/>
      <c r="S141" s="17"/>
      <c r="T141" s="17"/>
    </row>
    <row r="142" spans="2:25" ht="25.5" hidden="1" outlineLevel="1" x14ac:dyDescent="0.2">
      <c r="B142" s="17"/>
      <c r="C142" s="17"/>
      <c r="D142" s="17"/>
      <c r="E142" s="17"/>
      <c r="F142" s="36" t="s">
        <v>27</v>
      </c>
      <c r="G142" s="36" t="s">
        <v>85</v>
      </c>
      <c r="H142" s="36" t="s">
        <v>29</v>
      </c>
      <c r="I142" s="17"/>
      <c r="J142" s="40" t="s">
        <v>114</v>
      </c>
      <c r="K142" s="41" t="s">
        <v>40</v>
      </c>
      <c r="L142" s="17"/>
      <c r="N142" s="17"/>
      <c r="O142" s="17"/>
      <c r="P142" s="17"/>
      <c r="Q142" s="18"/>
      <c r="R142" s="18"/>
      <c r="S142" s="18"/>
      <c r="T142" s="18"/>
    </row>
    <row r="143" spans="2:25" ht="14.25" hidden="1" outlineLevel="1" x14ac:dyDescent="0.25">
      <c r="B143" s="76"/>
      <c r="C143" s="76" t="s">
        <v>191</v>
      </c>
      <c r="D143" s="76"/>
      <c r="E143" s="76"/>
      <c r="F143" s="77">
        <f>SUM(F145:F158)</f>
        <v>105.94629215999998</v>
      </c>
      <c r="G143" s="77">
        <f t="shared" ref="G143:H143" si="37">SUM(G145:G158)</f>
        <v>195.66483377231765</v>
      </c>
      <c r="H143" s="77">
        <f t="shared" si="37"/>
        <v>47.288431937093691</v>
      </c>
      <c r="I143" s="76"/>
      <c r="J143" s="77">
        <f>F143+G143</f>
        <v>301.61112593231763</v>
      </c>
      <c r="K143" s="77">
        <f>SUM(F143:H143)</f>
        <v>348.8995578694113</v>
      </c>
      <c r="L143" s="76" t="s">
        <v>198</v>
      </c>
      <c r="N143" s="17"/>
      <c r="O143" s="17"/>
      <c r="P143" s="17"/>
      <c r="Q143" s="18"/>
      <c r="R143" s="18"/>
      <c r="S143" s="18"/>
      <c r="T143" s="18"/>
    </row>
    <row r="144" spans="2:25" hidden="1" outlineLevel="1" x14ac:dyDescent="0.2">
      <c r="B144" s="17"/>
      <c r="C144" s="17" t="s">
        <v>148</v>
      </c>
      <c r="D144" s="17"/>
      <c r="E144" s="17"/>
      <c r="F144" s="17"/>
      <c r="G144" s="17"/>
      <c r="H144" s="17"/>
      <c r="I144" s="17"/>
      <c r="J144" s="17"/>
      <c r="K144" s="17"/>
      <c r="L144" s="17"/>
      <c r="N144" s="17" t="s">
        <v>148</v>
      </c>
      <c r="O144" s="17"/>
      <c r="P144" s="17"/>
      <c r="Q144" s="18"/>
      <c r="R144" s="18"/>
      <c r="S144" s="18"/>
      <c r="T144" s="18"/>
    </row>
    <row r="145" spans="2:21" ht="15.75" hidden="1" outlineLevel="1" x14ac:dyDescent="0.3">
      <c r="B145" s="17"/>
      <c r="C145" s="17"/>
      <c r="D145" s="17" t="s">
        <v>128</v>
      </c>
      <c r="E145" s="17"/>
      <c r="F145" s="38">
        <f>IF(NOT(ISBLANK('Referenz Pflasterwerk'!$I16)),'Referenz Pflasterwerk'!$I16,'Referenz Pflasterwerk'!$F16)*IF(NOT(ISBLANK('Eingabe EF'!$AA9)),'Eingabe EF'!$AA9,'Eingabe EF'!$Y9)*$E$139</f>
        <v>1.1539079999999999</v>
      </c>
      <c r="G145" s="38">
        <f>IF(NOT(ISBLANK('Referenz Pflasterwerk'!$I16)),'Referenz Pflasterwerk'!$I16,'Referenz Pflasterwerk'!$F16)*IF(NOT(ISBLANK('Eingabe EF'!$AE9)),'Eingabe EF'!$AE9,'Eingabe EF'!$AC9)*$E$139</f>
        <v>0</v>
      </c>
      <c r="H145" s="38">
        <f>IF(NOT(ISBLANK('Referenz Pflasterwerk'!$I16)),'Referenz Pflasterwerk'!$I16,'Referenz Pflasterwerk'!$F16)*IF(NOT(ISBLANK('Eingabe EF'!$AI9)),'Eingabe EF'!$AI9,'Eingabe EF'!$AG9)*$E$139</f>
        <v>0.19750499999999999</v>
      </c>
      <c r="I145" s="17"/>
      <c r="J145" s="38">
        <f>F145+G145</f>
        <v>1.1539079999999999</v>
      </c>
      <c r="K145" s="38">
        <f>SUM(F145:H145)</f>
        <v>1.351413</v>
      </c>
      <c r="L145" s="17" t="s">
        <v>199</v>
      </c>
      <c r="N145" s="17"/>
      <c r="O145" s="17" t="s">
        <v>128</v>
      </c>
      <c r="P145" s="17"/>
      <c r="Q145" s="19"/>
      <c r="R145" s="20"/>
      <c r="S145" s="42">
        <f>IF(NOT(ISBLANK('Referenz Pflasterwerk'!$I16)),'Referenz Pflasterwerk'!$I16,'Referenz Pflasterwerk'!$F16)/1000*$E$139*IF(NOT(ISBLANK('Eingabe Preise'!$K10)),'Eingabe Preise'!$K10,'Eingabe Preise'!$I10)</f>
        <v>384.3</v>
      </c>
      <c r="T145" s="20" t="s">
        <v>109</v>
      </c>
    </row>
    <row r="146" spans="2:21" ht="15.75" hidden="1" outlineLevel="1" x14ac:dyDescent="0.3">
      <c r="B146" s="17"/>
      <c r="C146" s="17"/>
      <c r="D146" s="17" t="s">
        <v>166</v>
      </c>
      <c r="E146" s="17"/>
      <c r="F146" s="38">
        <f>IF(NOT(ISBLANK('Referenz Pflasterwerk'!$I17)),'Referenz Pflasterwerk'!$I17,'Referenz Pflasterwerk'!$F17)*IF(NOT(ISBLANK('Eingabe EF'!$AA10)),'Eingabe EF'!$AA10,'Eingabe EF'!$Y10)*$E$139</f>
        <v>0.37346399999999996</v>
      </c>
      <c r="G146" s="38">
        <f>IF(NOT(ISBLANK('Referenz Pflasterwerk'!$I17)),'Referenz Pflasterwerk'!$I17,'Referenz Pflasterwerk'!$F17)*IF(NOT(ISBLANK('Eingabe EF'!$AE10)),'Eingabe EF'!$AE10,'Eingabe EF'!$AC10)*$E$139</f>
        <v>0</v>
      </c>
      <c r="H146" s="38">
        <f>IF(NOT(ISBLANK('Referenz Pflasterwerk'!$I17)),'Referenz Pflasterwerk'!$I17,'Referenz Pflasterwerk'!$F17)*IF(NOT(ISBLANK('Eingabe EF'!$AI10)),'Eingabe EF'!$AI10,'Eingabe EF'!$AG10)*$E$139</f>
        <v>5.5406399999999995E-2</v>
      </c>
      <c r="I146" s="17"/>
      <c r="J146" s="38">
        <f>F146+G146</f>
        <v>0.37346399999999996</v>
      </c>
      <c r="K146" s="38">
        <f>SUM(F146:H146)</f>
        <v>0.42887039999999998</v>
      </c>
      <c r="L146" s="17" t="s">
        <v>199</v>
      </c>
      <c r="N146" s="17"/>
      <c r="O146" s="17" t="s">
        <v>166</v>
      </c>
      <c r="P146" s="17"/>
      <c r="Q146" s="20"/>
      <c r="R146" s="20"/>
      <c r="S146" s="42">
        <f>IF(NOT(ISBLANK('Referenz Pflasterwerk'!$I17)),'Referenz Pflasterwerk'!$I17,'Referenz Pflasterwerk'!$F17)/1000*$E$139*IF(NOT(ISBLANK('Eingabe Preise'!$K11)),'Eingabe Preise'!$K11,'Eingabe Preise'!$I11)</f>
        <v>64.399999999999991</v>
      </c>
      <c r="T146" s="20" t="s">
        <v>109</v>
      </c>
    </row>
    <row r="147" spans="2:21" ht="15.75" hidden="1" outlineLevel="1" x14ac:dyDescent="0.3">
      <c r="B147" s="17"/>
      <c r="C147" s="17"/>
      <c r="D147" s="17" t="s">
        <v>167</v>
      </c>
      <c r="E147" s="17"/>
      <c r="F147" s="38">
        <f>IF(NOT(ISBLANK('Referenz Pflasterwerk'!$I18)),'Referenz Pflasterwerk'!$I18,'Referenz Pflasterwerk'!$F18)*IF(NOT(ISBLANK('Eingabe EF'!$AA11)),'Eingabe EF'!$AA11,'Eingabe EF'!$Y11)*$E$139</f>
        <v>0</v>
      </c>
      <c r="G147" s="38">
        <f>IF(NOT(ISBLANK('Referenz Pflasterwerk'!$I18)),'Referenz Pflasterwerk'!$I18,'Referenz Pflasterwerk'!$F18)*IF(NOT(ISBLANK('Eingabe EF'!$AE11)),'Eingabe EF'!$AE11,'Eingabe EF'!$AC11)*$E$139</f>
        <v>29.141570987366457</v>
      </c>
      <c r="H147" s="38">
        <f>IF(NOT(ISBLANK('Referenz Pflasterwerk'!$I18)),'Referenz Pflasterwerk'!$I18,'Referenz Pflasterwerk'!$F18)*IF(NOT(ISBLANK('Eingabe EF'!$AI11)),'Eingabe EF'!$AI11,'Eingabe EF'!$AG11)*$E$139</f>
        <v>4.2720627625458683</v>
      </c>
      <c r="I147" s="17"/>
      <c r="J147" s="38">
        <f>F147+G147</f>
        <v>29.141570987366457</v>
      </c>
      <c r="K147" s="38">
        <f>SUM(F147:H147)</f>
        <v>33.413633749912321</v>
      </c>
      <c r="L147" s="17" t="s">
        <v>199</v>
      </c>
      <c r="N147" s="17"/>
      <c r="O147" s="17" t="s">
        <v>167</v>
      </c>
      <c r="P147" s="17"/>
      <c r="Q147" s="20"/>
      <c r="R147" s="20"/>
      <c r="S147" s="42">
        <f>IF(NOT(ISBLANK('Referenz Pflasterwerk'!$I18)),'Referenz Pflasterwerk'!$I18,'Referenz Pflasterwerk'!$F18)/1000*$E$139*IF(NOT(ISBLANK('Eingabe Preise'!$K12)),'Eingabe Preise'!$K12,'Eingabe Preise'!$I12)</f>
        <v>18060</v>
      </c>
      <c r="T147" s="20" t="s">
        <v>109</v>
      </c>
    </row>
    <row r="148" spans="2:21" ht="15.75" hidden="1" outlineLevel="1" x14ac:dyDescent="0.3">
      <c r="B148" s="17"/>
      <c r="C148" s="17"/>
      <c r="D148" s="17" t="s">
        <v>129</v>
      </c>
      <c r="E148" s="17"/>
      <c r="F148" s="44">
        <f>IF(NOT(ISBLANK('Referenz Pflasterwerk'!$I19)),'Referenz Pflasterwerk'!$I19,'Referenz Pflasterwerk'!$F19)*IF(NOT(ISBLANK('Eingabe EF'!$AA12)),'Eingabe EF'!$AA12,0)*E139</f>
        <v>0</v>
      </c>
      <c r="G148" s="44">
        <f>IF(NOT(ISBLANK('Referenz Pflasterwerk'!$I19)),'Referenz Pflasterwerk'!$I19,'Referenz Pflasterwerk'!$F19)*IF(NOT(ISBLANK('Eingabe EF'!$AE12)),'Eingabe EF'!$AE12,0)*E139</f>
        <v>0</v>
      </c>
      <c r="H148" s="44">
        <f>IF(NOT(ISBLANK('Referenz Pflasterwerk'!$I19)),'Referenz Pflasterwerk'!$I19,'Referenz Pflasterwerk'!$F19)*IF(NOT(ISBLANK('Eingabe EF'!$AI12)),'Eingabe EF'!$AI12,0)*E139</f>
        <v>0</v>
      </c>
      <c r="I148" s="17"/>
      <c r="J148" s="38">
        <f>F148+G148</f>
        <v>0</v>
      </c>
      <c r="K148" s="38">
        <f>SUM(F148:H148)</f>
        <v>0</v>
      </c>
      <c r="L148" s="17" t="s">
        <v>199</v>
      </c>
      <c r="N148" s="17"/>
      <c r="O148" s="17" t="s">
        <v>129</v>
      </c>
      <c r="P148" s="17"/>
      <c r="Q148" s="20"/>
      <c r="R148" s="20"/>
      <c r="S148" s="42">
        <f>IF(NOT(ISBLANK('Referenz Pflasterwerk'!$I19)),'Referenz Pflasterwerk'!$I19,'Referenz Pflasterwerk'!$F19)/1000*$E$139*IF(NOT(ISBLANK('Eingabe Preise'!$K16)),'Eingabe Preise'!$K16,0)</f>
        <v>0</v>
      </c>
      <c r="T148" s="20" t="s">
        <v>109</v>
      </c>
    </row>
    <row r="149" spans="2:21" hidden="1" outlineLevel="1" x14ac:dyDescent="0.2">
      <c r="B149" s="17"/>
      <c r="C149" s="17" t="s">
        <v>149</v>
      </c>
      <c r="D149" s="17"/>
      <c r="E149" s="17"/>
      <c r="F149" s="20"/>
      <c r="G149" s="20"/>
      <c r="H149" s="20"/>
      <c r="I149" s="17"/>
      <c r="J149" s="17"/>
      <c r="K149" s="17"/>
      <c r="L149" s="17"/>
      <c r="N149" s="17" t="s">
        <v>149</v>
      </c>
      <c r="O149" s="17"/>
      <c r="P149" s="17"/>
      <c r="Q149" s="20"/>
      <c r="R149" s="20"/>
      <c r="S149" s="20"/>
      <c r="T149" s="20"/>
    </row>
    <row r="150" spans="2:21" ht="15.75" hidden="1" outlineLevel="1" x14ac:dyDescent="0.3">
      <c r="B150" s="17"/>
      <c r="C150" s="17"/>
      <c r="D150" s="17" t="s">
        <v>32</v>
      </c>
      <c r="E150" s="17"/>
      <c r="F150" s="38">
        <f>IF(NOT(ISBLANK('Referenz Pflasterwerk'!$I21)),'Referenz Pflasterwerk'!$I21,'Referenz Pflasterwerk'!$F21)*IF(NOT(ISBLANK('Eingabe EF'!$AA9)),'Eingabe EF'!$AA9,'Eingabe EF'!$Y9)</f>
        <v>6.5937599999999996</v>
      </c>
      <c r="G150" s="38">
        <f>IF(NOT(ISBLANK('Referenz Pflasterwerk'!$I21)),'Referenz Pflasterwerk'!$I21,'Referenz Pflasterwerk'!$F21)*IF(NOT(ISBLANK('Eingabe EF'!$AE9)),'Eingabe EF'!$AE9,'Eingabe EF'!$AC9)</f>
        <v>0</v>
      </c>
      <c r="H150" s="38">
        <f>IF(NOT(ISBLANK('Referenz Pflasterwerk'!$I21)),'Referenz Pflasterwerk'!$I21,'Referenz Pflasterwerk'!$F21)*IF(NOT(ISBLANK('Eingabe EF'!$AG9)),'Eingabe EF'!$AG9,'Eingabe EF'!$AIC9)</f>
        <v>1.1286</v>
      </c>
      <c r="I150" s="17"/>
      <c r="J150" s="38">
        <f t="shared" ref="J150:J151" si="38">F150+G150</f>
        <v>6.5937599999999996</v>
      </c>
      <c r="K150" s="38">
        <f t="shared" ref="K150:K160" si="39">SUM(F150:H150)</f>
        <v>7.7223600000000001</v>
      </c>
      <c r="L150" s="17" t="s">
        <v>199</v>
      </c>
      <c r="M150" s="43"/>
      <c r="N150" s="17"/>
      <c r="O150" s="17" t="s">
        <v>32</v>
      </c>
      <c r="P150" s="17"/>
      <c r="Q150" s="20"/>
      <c r="R150" s="20"/>
      <c r="S150" s="42">
        <f>IF(NOT(ISBLANK('Referenz Pflasterwerk'!$I21)),'Referenz Pflasterwerk'!$I21,'Referenz Pflasterwerk'!$F21)/1000*IF(NOT(ISBLANK('Eingabe Preise'!$K10)),'Eingabe Preise'!$K10,'Eingabe Preise'!$I10)</f>
        <v>2196</v>
      </c>
      <c r="T150" s="20" t="s">
        <v>109</v>
      </c>
    </row>
    <row r="151" spans="2:21" ht="15.75" hidden="1" outlineLevel="1" x14ac:dyDescent="0.3">
      <c r="B151" s="17"/>
      <c r="C151" s="17"/>
      <c r="D151" s="17" t="s">
        <v>33</v>
      </c>
      <c r="E151" s="17"/>
      <c r="F151" s="38">
        <f>IF(NOT(ISBLANK('Referenz Pflasterwerk'!$I22)),'Referenz Pflasterwerk'!$I22,'Referenz Pflasterwerk'!$F22)*IF(NOT(ISBLANK('Eingabe EF'!$AA10)),'Eingabe EF'!$AA10,'Eingabe EF'!$Y10)</f>
        <v>2.13408</v>
      </c>
      <c r="G151" s="38">
        <f>IF(NOT(ISBLANK('Referenz Pflasterwerk'!$I22)),'Referenz Pflasterwerk'!$I22,'Referenz Pflasterwerk'!$F22)*IF(NOT(ISBLANK('Eingabe EF'!$AE10)),'Eingabe EF'!$AE10,'Eingabe EF'!$AC10)</f>
        <v>0</v>
      </c>
      <c r="H151" s="38">
        <f>IF(NOT(ISBLANK('Referenz Pflasterwerk'!$I22)),'Referenz Pflasterwerk'!$I22,'Referenz Pflasterwerk'!$F22)*IF(NOT(ISBLANK('Eingabe EF'!$AG10)),'Eingabe EF'!$AG10,'Eingabe EF'!$AIC10)</f>
        <v>0.316608</v>
      </c>
      <c r="I151" s="17"/>
      <c r="J151" s="38">
        <f t="shared" si="38"/>
        <v>2.13408</v>
      </c>
      <c r="K151" s="38">
        <f t="shared" si="39"/>
        <v>2.450688</v>
      </c>
      <c r="L151" s="17" t="s">
        <v>199</v>
      </c>
      <c r="M151" s="43"/>
      <c r="N151" s="17"/>
      <c r="O151" s="17" t="s">
        <v>33</v>
      </c>
      <c r="P151" s="17"/>
      <c r="Q151" s="20"/>
      <c r="R151" s="20"/>
      <c r="S151" s="42">
        <f>IF(NOT(ISBLANK('Referenz Pflasterwerk'!$I22)),'Referenz Pflasterwerk'!$I22,'Referenz Pflasterwerk'!$F22)/1000*IF(NOT(ISBLANK('Eingabe Preise'!$K11)),'Eingabe Preise'!$K11,'Eingabe Preise'!$I11)</f>
        <v>368</v>
      </c>
      <c r="T151" s="20" t="s">
        <v>109</v>
      </c>
    </row>
    <row r="152" spans="2:21" hidden="1" outlineLevel="1" x14ac:dyDescent="0.2">
      <c r="B152" s="17"/>
      <c r="C152" s="17" t="s">
        <v>150</v>
      </c>
      <c r="D152" s="17"/>
      <c r="E152" s="17"/>
      <c r="F152" s="20"/>
      <c r="G152" s="20"/>
      <c r="H152" s="20"/>
      <c r="I152" s="17"/>
      <c r="J152" s="17"/>
      <c r="K152" s="17"/>
      <c r="L152" s="17"/>
      <c r="N152" s="17" t="s">
        <v>150</v>
      </c>
      <c r="O152" s="17"/>
      <c r="P152" s="17"/>
      <c r="Q152" s="20"/>
      <c r="R152" s="20"/>
      <c r="S152" s="20"/>
      <c r="T152" s="20"/>
    </row>
    <row r="153" spans="2:21" ht="15.75" hidden="1" outlineLevel="1" x14ac:dyDescent="0.3">
      <c r="B153" s="17"/>
      <c r="C153" s="17"/>
      <c r="D153" s="17" t="s">
        <v>152</v>
      </c>
      <c r="E153" s="17"/>
      <c r="F153" s="38">
        <f>IF(NOT(ISBLANK('Referenz Pflasterwerk'!$I24)),'Referenz Pflasterwerk'!$I24,'Referenz Pflasterwerk'!$F24)*IF(NOT(ISBLANK('Eingabe EF'!$AA11)),'Eingabe EF'!$AA11,'Eingabe EF'!$Y11)</f>
        <v>0</v>
      </c>
      <c r="G153" s="38">
        <f>IF(NOT(ISBLANK('Referenz Pflasterwerk'!$I24)),'Referenz Pflasterwerk'!$I24,'Referenz Pflasterwerk'!$F24)*IF(NOT(ISBLANK('Eingabe EF'!$AE11)),'Eingabe EF'!$AE11,'Eingabe EF'!$AC11)</f>
        <v>166.52326278495119</v>
      </c>
      <c r="H153" s="38">
        <f>IF(NOT(ISBLANK('Referenz Pflasterwerk'!$I24)),'Referenz Pflasterwerk'!$I24,'Referenz Pflasterwerk'!$F24)*IF(NOT(ISBLANK('Eingabe EF'!$AI11)),'Eingabe EF'!$AI11,'Eingabe EF'!$AG11)</f>
        <v>24.411787214547822</v>
      </c>
      <c r="I153" s="17"/>
      <c r="J153" s="38">
        <f t="shared" ref="J153:J160" si="40">F153+G153</f>
        <v>166.52326278495119</v>
      </c>
      <c r="K153" s="38">
        <f t="shared" si="39"/>
        <v>190.935049999499</v>
      </c>
      <c r="L153" s="17" t="s">
        <v>199</v>
      </c>
      <c r="M153" s="43"/>
      <c r="N153" s="17"/>
      <c r="O153" s="17" t="s">
        <v>168</v>
      </c>
      <c r="P153" s="17"/>
      <c r="Q153" s="20"/>
      <c r="R153" s="20"/>
      <c r="S153" s="42">
        <f>IF(NOT(ISBLANK('Referenz Pflasterwerk'!$I24)),'Referenz Pflasterwerk'!$I24,'Referenz Pflasterwerk'!$F24)/1000*IF(NOT(ISBLANK('Eingabe Preise'!$K12)),'Eingabe Preise'!$K12,'Eingabe Preise'!$I12)</f>
        <v>103200</v>
      </c>
      <c r="T153" s="20" t="s">
        <v>109</v>
      </c>
    </row>
    <row r="154" spans="2:21" ht="15.75" hidden="1" outlineLevel="1" x14ac:dyDescent="0.3">
      <c r="B154" s="17"/>
      <c r="C154" s="17"/>
      <c r="D154" s="17" t="s">
        <v>125</v>
      </c>
      <c r="E154" s="17"/>
      <c r="F154" s="38">
        <f>IF(NOT(ISBLANK('Referenz Pflasterwerk'!$I25)),'Referenz Pflasterwerk'!$I25,'Referenz Pflasterwerk'!$F25)*IF(NOT(ISBLANK('Eingabe EF'!$AA13)),'Eingabe EF'!$AA13,'Eingabe EF'!$Y13)</f>
        <v>0</v>
      </c>
      <c r="G154" s="38">
        <f>IF(NOT(ISBLANK('Referenz Pflasterwerk'!$I25)),'Referenz Pflasterwerk'!$I25,'Referenz Pflasterwerk'!$F25)*IF(NOT(ISBLANK('Eingabe EF'!$AE13)),'Eingabe EF'!$AE13,'Eingabe EF'!$AC13)</f>
        <v>0</v>
      </c>
      <c r="H154" s="38">
        <f>IF(NOT(ISBLANK('Referenz Pflasterwerk'!$I25)),'Referenz Pflasterwerk'!$I25,'Referenz Pflasterwerk'!$F25)*IF(NOT(ISBLANK('Eingabe EF'!$AI13)),'Eingabe EF'!$AI13,'Eingabe EF'!$AG13)</f>
        <v>0</v>
      </c>
      <c r="I154" s="17"/>
      <c r="J154" s="38">
        <f t="shared" si="40"/>
        <v>0</v>
      </c>
      <c r="K154" s="38">
        <f t="shared" si="39"/>
        <v>0</v>
      </c>
      <c r="L154" s="17" t="s">
        <v>199</v>
      </c>
      <c r="M154" s="43"/>
      <c r="N154" s="17"/>
      <c r="O154" s="17" t="s">
        <v>125</v>
      </c>
      <c r="P154" s="17"/>
      <c r="Q154" s="20"/>
      <c r="R154" s="20"/>
      <c r="S154" s="42">
        <f>IF(NOT(ISBLANK('Referenz Pflasterwerk'!$I25)),'Referenz Pflasterwerk'!$I25,'Referenz Pflasterwerk'!$F25)/1000*IF(NOT(ISBLANK('Eingabe Preise'!$K13)),'Eingabe Preise'!$K13,'Eingabe Preise'!$I13)</f>
        <v>0</v>
      </c>
      <c r="T154" s="20" t="s">
        <v>109</v>
      </c>
    </row>
    <row r="155" spans="2:21" ht="15.75" hidden="1" outlineLevel="1" x14ac:dyDescent="0.3">
      <c r="B155" s="17"/>
      <c r="C155" s="17"/>
      <c r="D155" s="17" t="s">
        <v>151</v>
      </c>
      <c r="E155" s="17"/>
      <c r="F155" s="38">
        <f>IF(NOT(ISBLANK('Referenz Pflasterwerk'!$I26)),'Referenz Pflasterwerk'!$I26,'Referenz Pflasterwerk'!$F26)*IF(NOT(ISBLANK('Eingabe EF'!$AA14)),'Eingabe EF'!$AA14,0)</f>
        <v>0</v>
      </c>
      <c r="G155" s="38">
        <f>IF(NOT(ISBLANK('Referenz Pflasterwerk'!$I26)),'Referenz Pflasterwerk'!$I26,'Referenz Pflasterwerk'!$F26)*IF(NOT(ISBLANK('Eingabe EF'!$AE14)),'Eingabe EF'!$AE14,0)</f>
        <v>0</v>
      </c>
      <c r="H155" s="38">
        <f>IF(NOT(ISBLANK('Referenz Pflasterwerk'!$I26)),'Referenz Pflasterwerk'!$I26,'Referenz Pflasterwerk'!$F26)*IF(NOT(ISBLANK('Eingabe EF'!$AI14)),'Eingabe EF'!$AI14,0)</f>
        <v>0</v>
      </c>
      <c r="I155" s="17"/>
      <c r="J155" s="38">
        <f t="shared" si="40"/>
        <v>0</v>
      </c>
      <c r="K155" s="38">
        <f t="shared" si="39"/>
        <v>0</v>
      </c>
      <c r="L155" s="17" t="s">
        <v>199</v>
      </c>
      <c r="M155" s="43"/>
      <c r="N155" s="17"/>
      <c r="O155" s="17" t="s">
        <v>151</v>
      </c>
      <c r="P155" s="17"/>
      <c r="Q155" s="30"/>
      <c r="R155" s="17"/>
      <c r="S155" s="42">
        <f>IF(NOT(ISBLANK('Referenz Pflasterwerk'!$I26)),'Referenz Pflasterwerk'!$I26,'Referenz Pflasterwerk'!$F26)/1000*IF(NOT(ISBLANK('Eingabe Preise'!$K17)),'Eingabe Preise'!$K17,0)</f>
        <v>0</v>
      </c>
      <c r="T155" s="20" t="s">
        <v>109</v>
      </c>
    </row>
    <row r="156" spans="2:21" hidden="1" outlineLevel="1" x14ac:dyDescent="0.2">
      <c r="B156" s="17"/>
      <c r="C156" s="17"/>
      <c r="D156" s="17"/>
      <c r="E156" s="17"/>
      <c r="F156" s="20"/>
      <c r="G156" s="20"/>
      <c r="H156" s="20"/>
      <c r="I156" s="17"/>
      <c r="J156" s="17"/>
      <c r="K156" s="17"/>
      <c r="L156" s="17"/>
      <c r="N156" s="17"/>
      <c r="O156" s="17"/>
      <c r="P156" s="17"/>
      <c r="Q156" s="30"/>
      <c r="R156" s="17"/>
      <c r="S156" s="17"/>
      <c r="T156" s="17"/>
    </row>
    <row r="157" spans="2:21" ht="15.75" hidden="1" outlineLevel="1" x14ac:dyDescent="0.3">
      <c r="B157" s="17"/>
      <c r="C157" s="17" t="s">
        <v>78</v>
      </c>
      <c r="D157" s="17" t="s">
        <v>35</v>
      </c>
      <c r="E157" s="17"/>
      <c r="F157" s="38">
        <f>IF(NOT(ISBLANK('Referenz Pflasterwerk'!$I28)),'Referenz Pflasterwerk'!$I28,'Referenz Pflasterwerk'!$F28)*IF(NOT(ISBLANK('Eingabe EF'!$AA15)),'Eingabe EF'!$AA15,'Eingabe EF'!$Y15)</f>
        <v>85.058737919999984</v>
      </c>
      <c r="G157" s="38">
        <f>IF(NOT(ISBLANK('Referenz Pflasterwerk'!$I28)),'Referenz Pflasterwerk'!$I28,'Referenz Pflasterwerk'!$F28)*IF(NOT(ISBLANK('Eingabe EF'!$AE15)),'Eingabe EF'!$AE15,'Eingabe EF'!$AC15)</f>
        <v>0</v>
      </c>
      <c r="H157" s="38">
        <f>IF(NOT(ISBLANK('Referenz Pflasterwerk'!$I28)),'Referenz Pflasterwerk'!$I28,'Referenz Pflasterwerk'!$F28)*IF(NOT(ISBLANK('Eingabe EF'!$AI15)),'Eingabe EF'!$AI15,'Eingabe EF'!$AG15)</f>
        <v>15.027966720000002</v>
      </c>
      <c r="I157" s="17"/>
      <c r="J157" s="38">
        <f t="shared" si="40"/>
        <v>85.058737919999984</v>
      </c>
      <c r="K157" s="38">
        <f t="shared" si="39"/>
        <v>100.08670463999999</v>
      </c>
      <c r="L157" s="17" t="s">
        <v>199</v>
      </c>
      <c r="M157" s="43"/>
      <c r="N157" s="17"/>
      <c r="O157" s="17" t="s">
        <v>35</v>
      </c>
      <c r="P157" s="17" t="s">
        <v>78</v>
      </c>
      <c r="Q157" s="30"/>
      <c r="R157" s="17"/>
      <c r="S157" s="42">
        <f>IF(NOT(ISBLANK('Referenz Pflasterwerk'!$I28)),'Referenz Pflasterwerk'!$I28,'Referenz Pflasterwerk'!$F28)*IF(NOT(ISBLANK('Eingabe Preise'!$K14)),'Eingabe Preise'!$K14,'Eingabe Preise'!$I14)</f>
        <v>35968</v>
      </c>
      <c r="T157" s="20" t="s">
        <v>109</v>
      </c>
    </row>
    <row r="158" spans="2:21" ht="15.75" hidden="1" outlineLevel="1" x14ac:dyDescent="0.3">
      <c r="B158" s="17"/>
      <c r="C158" s="17" t="s">
        <v>77</v>
      </c>
      <c r="D158" s="17" t="s">
        <v>35</v>
      </c>
      <c r="E158" s="17"/>
      <c r="F158" s="38">
        <f>IF(NOT(ISBLANK('Referenz Pflasterwerk'!$I29)),'Referenz Pflasterwerk'!$I29,'Referenz Pflasterwerk'!$F29)*IF(NOT(ISBLANK('Eingabe EF'!$AA15)),'Eingabe EF'!$AA15,'Eingabe EF'!$Y15)</f>
        <v>10.632342239999998</v>
      </c>
      <c r="G158" s="38">
        <f>IF(NOT(ISBLANK('Referenz Pflasterwerk'!$I29)),'Referenz Pflasterwerk'!$I29,'Referenz Pflasterwerk'!$F29)*IF(NOT(ISBLANK('Eingabe EF'!$AE15)),'Eingabe EF'!$AE15,'Eingabe EF'!$AC15)</f>
        <v>0</v>
      </c>
      <c r="H158" s="38">
        <f>IF(NOT(ISBLANK('Referenz Pflasterwerk'!$I29)),'Referenz Pflasterwerk'!$I29,'Referenz Pflasterwerk'!$F29)*IF(NOT(ISBLANK('Eingabe EF'!$AI15)),'Eingabe EF'!$AI15,'Eingabe EF'!$AG15)</f>
        <v>1.8784958400000002</v>
      </c>
      <c r="I158" s="17"/>
      <c r="J158" s="38">
        <f t="shared" ref="J158:J159" si="41">F158+G158</f>
        <v>10.632342239999998</v>
      </c>
      <c r="K158" s="38">
        <f t="shared" ref="K158:K159" si="42">SUM(F158:H158)</f>
        <v>12.510838079999999</v>
      </c>
      <c r="L158" s="17" t="s">
        <v>199</v>
      </c>
      <c r="M158" s="43"/>
      <c r="N158" s="17"/>
      <c r="O158" s="17" t="s">
        <v>35</v>
      </c>
      <c r="P158" s="17" t="s">
        <v>77</v>
      </c>
      <c r="Q158" s="30"/>
      <c r="R158" s="17"/>
      <c r="S158" s="42">
        <f>IF(NOT(ISBLANK('Referenz Pflasterwerk'!$I29)),'Referenz Pflasterwerk'!$I29,'Referenz Pflasterwerk'!$F29)*IF(NOT(ISBLANK('Eingabe Preise'!$K14)),'Eingabe Preise'!$K14,'Eingabe Preise'!$I14)</f>
        <v>4496</v>
      </c>
      <c r="T158" s="20" t="s">
        <v>109</v>
      </c>
    </row>
    <row r="159" spans="2:21" s="72" customFormat="1" ht="14.25" hidden="1" outlineLevel="1" x14ac:dyDescent="0.25">
      <c r="B159" s="69"/>
      <c r="C159" s="69" t="s">
        <v>190</v>
      </c>
      <c r="D159" s="69"/>
      <c r="E159" s="69"/>
      <c r="F159" s="71">
        <f>F160+F161</f>
        <v>0</v>
      </c>
      <c r="G159" s="71">
        <f t="shared" ref="G159:H159" si="43">G160+G161</f>
        <v>0</v>
      </c>
      <c r="H159" s="71">
        <f t="shared" si="43"/>
        <v>578.62626120000004</v>
      </c>
      <c r="I159" s="69"/>
      <c r="J159" s="71">
        <f t="shared" si="41"/>
        <v>0</v>
      </c>
      <c r="K159" s="71">
        <f t="shared" si="42"/>
        <v>578.62626120000004</v>
      </c>
      <c r="L159" s="76" t="s">
        <v>198</v>
      </c>
      <c r="N159" s="21"/>
      <c r="O159" s="21"/>
      <c r="P159" s="21"/>
      <c r="Q159" s="73"/>
      <c r="R159" s="21"/>
      <c r="S159" s="21"/>
      <c r="T159" s="21"/>
      <c r="U159" s="6"/>
    </row>
    <row r="160" spans="2:21" ht="15.75" hidden="1" outlineLevel="1" x14ac:dyDescent="0.3">
      <c r="B160" s="17"/>
      <c r="C160" s="17"/>
      <c r="D160" s="17" t="s">
        <v>46</v>
      </c>
      <c r="E160" s="17"/>
      <c r="F160" s="38">
        <f>IF(NOT(ISBLANK('Referenz Pflasterwerk'!$I32)),'Referenz Pflasterwerk'!$I32,'Referenz Pflasterwerk'!$F32)*IF(NOT(ISBLANK('Eingabe EF'!$AA17)),'Eingabe EF'!$AA17,'Eingabe EF'!$Y17)</f>
        <v>0</v>
      </c>
      <c r="G160" s="38">
        <f>IF(NOT(ISBLANK('Referenz Pflasterwerk'!$I32)),'Referenz Pflasterwerk'!$I32,'Referenz Pflasterwerk'!$F32)*IF(NOT(ISBLANK('Eingabe EF'!$AE17)),'Eingabe EF'!$AE17,'Eingabe EF'!$AC17)</f>
        <v>0</v>
      </c>
      <c r="H160" s="38">
        <f>IF(NOT(ISBLANK('Referenz Pflasterwerk'!$I32)),'Referenz Pflasterwerk'!$I32,'Referenz Pflasterwerk'!$F32)*IF(NOT(ISBLANK('Eingabe EF'!$AI17)),'Eingabe EF'!$AI17,'Eingabe EF'!$AG17)</f>
        <v>250.21676159999998</v>
      </c>
      <c r="I160" s="17"/>
      <c r="J160" s="38">
        <f t="shared" si="40"/>
        <v>0</v>
      </c>
      <c r="K160" s="38">
        <f t="shared" si="39"/>
        <v>250.21676159999998</v>
      </c>
      <c r="L160" s="17" t="s">
        <v>199</v>
      </c>
      <c r="M160" s="43"/>
      <c r="N160" s="17"/>
      <c r="O160" s="17"/>
      <c r="P160" s="17"/>
      <c r="Q160" s="30"/>
      <c r="R160" s="17"/>
      <c r="S160" s="17"/>
      <c r="T160" s="17"/>
    </row>
    <row r="161" spans="2:20" ht="15.75" hidden="1" outlineLevel="1" x14ac:dyDescent="0.3">
      <c r="B161" s="17"/>
      <c r="C161" s="17"/>
      <c r="D161" s="17" t="s">
        <v>47</v>
      </c>
      <c r="E161" s="17"/>
      <c r="F161" s="38">
        <f>IF(NOT(ISBLANK('Referenz Pflasterwerk'!$I33)),'Referenz Pflasterwerk'!$I33,'Referenz Pflasterwerk'!$F33)*IF(NOT(ISBLANK('Eingabe EF'!$AA18)),'Eingabe EF'!$AA18,'Eingabe EF'!$Y18)</f>
        <v>0</v>
      </c>
      <c r="G161" s="38">
        <f>IF(NOT(ISBLANK('Referenz Pflasterwerk'!$I33)),'Referenz Pflasterwerk'!$I33,'Referenz Pflasterwerk'!$F33)*IF(NOT(ISBLANK('Eingabe EF'!$AE18)),'Eingabe EF'!$AE18,'Eingabe EF'!$AC18)</f>
        <v>0</v>
      </c>
      <c r="H161" s="38">
        <f>IF(NOT(ISBLANK('Referenz Pflasterwerk'!$I33)),'Referenz Pflasterwerk'!$I33,'Referenz Pflasterwerk'!$F33)*IF(NOT(ISBLANK('Eingabe EF'!$AI18)),'Eingabe EF'!$AI18,'Eingabe EF'!$AG18)</f>
        <v>328.4094996</v>
      </c>
      <c r="I161" s="17"/>
      <c r="J161" s="38">
        <f t="shared" ref="J161" si="44">F161+G161</f>
        <v>0</v>
      </c>
      <c r="K161" s="38">
        <f t="shared" ref="K161" si="45">SUM(F161:H161)</f>
        <v>328.4094996</v>
      </c>
      <c r="L161" s="17" t="s">
        <v>199</v>
      </c>
      <c r="M161" s="43"/>
      <c r="N161" s="17"/>
      <c r="O161" s="17" t="s">
        <v>31</v>
      </c>
      <c r="P161" s="17"/>
      <c r="Q161" s="30"/>
      <c r="R161" s="17"/>
      <c r="S161" s="42">
        <f>IF(NOT(ISBLANK($G$18)),$G$18,$E$18)/IF(NOT(ISBLANK($G$23)),$G$23,$E$23)+IF(NOT(ISBLANK($G$18)),$G$18,$E$18)*(IF(NOT(ISBLANK($G$24)),$G$24,$E$24)/100)</f>
        <v>72000</v>
      </c>
      <c r="T161" s="20" t="s">
        <v>109</v>
      </c>
    </row>
    <row r="162" spans="2:20" hidden="1" outlineLevel="1" x14ac:dyDescent="0.2">
      <c r="B162" s="17"/>
      <c r="C162" s="17"/>
      <c r="D162" s="17"/>
      <c r="E162" s="17"/>
      <c r="F162" s="20"/>
      <c r="G162" s="20"/>
      <c r="H162" s="20"/>
      <c r="I162" s="17"/>
      <c r="J162" s="20"/>
      <c r="K162" s="20"/>
      <c r="L162" s="17"/>
      <c r="N162" s="17"/>
      <c r="O162" s="45" t="s">
        <v>155</v>
      </c>
      <c r="P162" s="17"/>
      <c r="Q162" s="30"/>
      <c r="R162" s="17"/>
      <c r="S162" s="42">
        <f>IF(NOT(ISBLANK($G$19)),$G$19,$E$19)</f>
        <v>0</v>
      </c>
      <c r="T162" s="20" t="s">
        <v>109</v>
      </c>
    </row>
    <row r="163" spans="2:20" ht="14.25" hidden="1" outlineLevel="1" x14ac:dyDescent="0.25">
      <c r="B163" s="69"/>
      <c r="C163" s="69" t="s">
        <v>69</v>
      </c>
      <c r="D163" s="70"/>
      <c r="E163" s="70"/>
      <c r="F163" s="71">
        <f>SUM(F164:F167)</f>
        <v>0</v>
      </c>
      <c r="G163" s="71">
        <f>SUM(G164:G167)</f>
        <v>0</v>
      </c>
      <c r="H163" s="71">
        <f>SUM(H164:H167)</f>
        <v>7683.24</v>
      </c>
      <c r="I163" s="70"/>
      <c r="J163" s="71">
        <f t="shared" ref="J163:J166" si="46">F163+G163</f>
        <v>0</v>
      </c>
      <c r="K163" s="71">
        <f t="shared" ref="K163:K166" si="47">SUM(F163:H163)</f>
        <v>7683.24</v>
      </c>
      <c r="L163" s="76" t="s">
        <v>198</v>
      </c>
      <c r="N163" s="17"/>
      <c r="O163" s="45" t="s">
        <v>162</v>
      </c>
      <c r="P163" s="17"/>
      <c r="Q163" s="30"/>
      <c r="R163" s="17"/>
      <c r="S163" s="42">
        <f>IF(NOT(ISBLANK($G$20)),$G$20,$E$20)/IF(NOT(ISBLANK($G$23)),$G$23,$E$23)+IF(NOT(ISBLANK($G$20)),$G$20,$E$20)*(IF(NOT(ISBLANK($G$24)),$G$24,$E$24)/100)</f>
        <v>0</v>
      </c>
      <c r="T163" s="20" t="s">
        <v>109</v>
      </c>
    </row>
    <row r="164" spans="2:20" ht="15.75" hidden="1" outlineLevel="1" x14ac:dyDescent="0.3">
      <c r="B164" s="17"/>
      <c r="C164" s="17"/>
      <c r="D164" s="17" t="s">
        <v>48</v>
      </c>
      <c r="E164" s="17"/>
      <c r="F164" s="38">
        <f>IF(NOT(ISBLANK('Referenz Pflasterwerk'!$I36)),'Referenz Pflasterwerk'!$I36,'Referenz Pflasterwerk'!$F36)*IF(NOT(ISBLANK('Eingabe EF'!$AA21)),'Eingabe EF'!$AA21,'Eingabe EF'!$Y21)*IF(NOT(ISBLANK('Referenz Pflasterwerk'!$I$12)),'Referenz Pflasterwerk'!$I$12,'Referenz Pflasterwerk'!$F$12)</f>
        <v>0</v>
      </c>
      <c r="G164" s="38">
        <f>IF(NOT(ISBLANK('Referenz Pflasterwerk'!$I36)),'Referenz Pflasterwerk'!$I36,'Referenz Pflasterwerk'!$F36)*IF(NOT(ISBLANK('Eingabe EF'!$AE21)),'Eingabe EF'!$AE21,'Eingabe EF'!$AC21)*IF(NOT(ISBLANK('Referenz Pflasterwerk'!$I$12)),'Referenz Pflasterwerk'!$I$12,'Referenz Pflasterwerk'!$F$12)</f>
        <v>0</v>
      </c>
      <c r="H164" s="38">
        <f>IF(NOT(ISBLANK('Referenz Pflasterwerk'!$I36)),'Referenz Pflasterwerk'!$I36,'Referenz Pflasterwerk'!$F36)*IF(NOT(ISBLANK('Eingabe EF'!$AI21)),'Eingabe EF'!$AI21,'Eingabe EF'!$AG21)*IF(NOT(ISBLANK('Referenz Pflasterwerk'!$I$12)),'Referenz Pflasterwerk'!$I$12,'Referenz Pflasterwerk'!$F$12)</f>
        <v>2144.625</v>
      </c>
      <c r="I164" s="17"/>
      <c r="J164" s="38">
        <f t="shared" si="46"/>
        <v>0</v>
      </c>
      <c r="K164" s="38">
        <f t="shared" si="47"/>
        <v>2144.625</v>
      </c>
      <c r="L164" s="17" t="s">
        <v>199</v>
      </c>
      <c r="M164" s="43"/>
      <c r="N164" s="17"/>
      <c r="O164" s="17"/>
      <c r="P164" s="17"/>
      <c r="Q164" s="17"/>
      <c r="R164" s="17"/>
      <c r="S164" s="17"/>
      <c r="T164" s="17"/>
    </row>
    <row r="165" spans="2:20" ht="15.75" hidden="1" outlineLevel="1" x14ac:dyDescent="0.3">
      <c r="B165" s="17"/>
      <c r="C165" s="17"/>
      <c r="D165" s="17" t="s">
        <v>50</v>
      </c>
      <c r="E165" s="17"/>
      <c r="F165" s="38">
        <f>IF(NOT(ISBLANK('Referenz Pflasterwerk'!$I37)),'Referenz Pflasterwerk'!$I37,'Referenz Pflasterwerk'!$F37)*IF(NOT(ISBLANK('Eingabe EF'!$AA22)),'Eingabe EF'!$AA22,'Eingabe EF'!$Y22)*IF(NOT(ISBLANK('Referenz Pflasterwerk'!$I$12)),'Referenz Pflasterwerk'!$I$12,'Referenz Pflasterwerk'!$F$12)</f>
        <v>0</v>
      </c>
      <c r="G165" s="38">
        <f>IF(NOT(ISBLANK('Referenz Pflasterwerk'!$I37)),'Referenz Pflasterwerk'!$I37,'Referenz Pflasterwerk'!$F37)*IF(NOT(ISBLANK('Eingabe EF'!$AE22)),'Eingabe EF'!$AE22,'Eingabe EF'!$AC22)*IF(NOT(ISBLANK('Referenz Pflasterwerk'!$I$12)),'Referenz Pflasterwerk'!$I$12,'Referenz Pflasterwerk'!$F$12)</f>
        <v>0</v>
      </c>
      <c r="H165" s="38">
        <f>IF(NOT(ISBLANK('Referenz Pflasterwerk'!$I37)),'Referenz Pflasterwerk'!$I37,'Referenz Pflasterwerk'!$F37)*IF(NOT(ISBLANK('Eingabe EF'!$AI22)),'Eingabe EF'!$AI22,'Eingabe EF'!$AG22)*IF(NOT(ISBLANK('Referenz Pflasterwerk'!$I$12)),'Referenz Pflasterwerk'!$I$12,'Referenz Pflasterwerk'!$F$12)</f>
        <v>4993.59</v>
      </c>
      <c r="I165" s="17"/>
      <c r="J165" s="38">
        <f t="shared" si="46"/>
        <v>0</v>
      </c>
      <c r="K165" s="38">
        <f t="shared" si="47"/>
        <v>4993.59</v>
      </c>
      <c r="L165" s="17" t="s">
        <v>199</v>
      </c>
      <c r="M165" s="43"/>
      <c r="N165" s="17"/>
      <c r="O165" s="17"/>
      <c r="P165" s="17"/>
      <c r="Q165" s="17"/>
      <c r="R165" s="17"/>
      <c r="S165" s="17"/>
      <c r="T165" s="17"/>
    </row>
    <row r="166" spans="2:20" ht="15.75" hidden="1" outlineLevel="1" x14ac:dyDescent="0.3">
      <c r="B166" s="17"/>
      <c r="C166" s="17"/>
      <c r="D166" s="17" t="s">
        <v>51</v>
      </c>
      <c r="E166" s="17"/>
      <c r="F166" s="38">
        <f>IF(NOT(ISBLANK('Referenz Pflasterwerk'!$I38)),'Referenz Pflasterwerk'!$I38,'Referenz Pflasterwerk'!$F38)*IF(NOT(ISBLANK('Eingabe EF'!$AA23)),'Eingabe EF'!$AA23,'Eingabe EF'!$Y23)*IF(NOT(ISBLANK('Referenz Pflasterwerk'!$I$12)),'Referenz Pflasterwerk'!$I$12,'Referenz Pflasterwerk'!$F$12)</f>
        <v>0</v>
      </c>
      <c r="G166" s="38">
        <f>IF(NOT(ISBLANK('Referenz Pflasterwerk'!$I38)),'Referenz Pflasterwerk'!$I38,'Referenz Pflasterwerk'!$F38)*IF(NOT(ISBLANK('Eingabe EF'!$AE23)),'Eingabe EF'!$AE23,'Eingabe EF'!$AC23)*IF(NOT(ISBLANK('Referenz Pflasterwerk'!$I$12)),'Referenz Pflasterwerk'!$I$12,'Referenz Pflasterwerk'!$F$12)</f>
        <v>0</v>
      </c>
      <c r="H166" s="38">
        <f>IF(NOT(ISBLANK('Referenz Pflasterwerk'!$I38)),'Referenz Pflasterwerk'!$I38,'Referenz Pflasterwerk'!$F38)*IF(NOT(ISBLANK('Eingabe EF'!$AI23)),'Eingabe EF'!$AI23,'Eingabe EF'!$AG23)*IF(NOT(ISBLANK('Referenz Pflasterwerk'!$I$12)),'Referenz Pflasterwerk'!$I$12,'Referenz Pflasterwerk'!$F$12)</f>
        <v>545.02499999999998</v>
      </c>
      <c r="I166" s="17"/>
      <c r="J166" s="38">
        <f t="shared" si="46"/>
        <v>0</v>
      </c>
      <c r="K166" s="38">
        <f t="shared" si="47"/>
        <v>545.02499999999998</v>
      </c>
      <c r="L166" s="17" t="s">
        <v>199</v>
      </c>
      <c r="M166" s="43"/>
      <c r="N166" s="17"/>
      <c r="O166" s="17" t="s">
        <v>201</v>
      </c>
      <c r="P166" s="17"/>
      <c r="Q166" s="30"/>
      <c r="R166" s="17"/>
      <c r="S166" s="42">
        <f>F202*IF(NOT(ISBLANK('Eingabe Preise'!$K21)),'Eingabe Preise'!$K21,'Eingabe Preise'!$I21)</f>
        <v>4767.5831471999991</v>
      </c>
      <c r="T166" s="20" t="s">
        <v>109</v>
      </c>
    </row>
    <row r="167" spans="2:20" ht="15.75" hidden="1" outlineLevel="1" x14ac:dyDescent="0.3">
      <c r="B167" s="17"/>
      <c r="C167" s="17"/>
      <c r="D167" s="17" t="s">
        <v>163</v>
      </c>
      <c r="E167" s="17"/>
      <c r="F167" s="38">
        <f>IF(NOT(ISBLANK('Referenz Pflasterwerk'!$I39)),'Referenz Pflasterwerk'!$I39,'Referenz Pflasterwerk'!$F39)*IF(NOT(ISBLANK('Eingabe EF'!$AA24)),'Eingabe EF'!$AA24,0)*IF(NOT(ISBLANK('Referenz Pflasterwerk'!$I$12)),'Referenz Pflasterwerk'!$I$12,'Referenz Pflasterwerk'!$F$12)</f>
        <v>0</v>
      </c>
      <c r="G167" s="38">
        <f>IF(NOT(ISBLANK('Referenz Pflasterwerk'!$I39)),'Referenz Pflasterwerk'!$I39,'Referenz Pflasterwerk'!$F39)*IF(NOT(ISBLANK('Eingabe EF'!$AE24)),'Eingabe EF'!$AE24,0)*IF(NOT(ISBLANK('Referenz Pflasterwerk'!$I$12)),'Referenz Pflasterwerk'!$I$12,'Referenz Pflasterwerk'!$F$12)</f>
        <v>0</v>
      </c>
      <c r="H167" s="38">
        <f>IF(NOT(ISBLANK('Referenz Pflasterwerk'!$I39)),'Referenz Pflasterwerk'!$I39,'Referenz Pflasterwerk'!$F39)*IF(NOT(ISBLANK('Eingabe EF'!$AI24)),'Eingabe EF'!$AI24,0)*IF(NOT(ISBLANK('Referenz Pflasterwerk'!$I$12)),'Referenz Pflasterwerk'!$I$12,'Referenz Pflasterwerk'!$F$12)</f>
        <v>0</v>
      </c>
      <c r="I167" s="17"/>
      <c r="J167" s="38">
        <f t="shared" ref="J167" si="48">F167+G167</f>
        <v>0</v>
      </c>
      <c r="K167" s="38">
        <f t="shared" ref="K167" si="49">SUM(F167:H167)</f>
        <v>0</v>
      </c>
      <c r="L167" s="17" t="s">
        <v>199</v>
      </c>
      <c r="M167" s="43"/>
      <c r="N167" s="17"/>
      <c r="O167" s="17" t="s">
        <v>202</v>
      </c>
      <c r="P167" s="17"/>
      <c r="Q167" s="30"/>
      <c r="R167" s="17"/>
      <c r="S167" s="42">
        <f>G202*IF(NOT(ISBLANK('Eingabe Preise'!$K22)),'Eingabe Preise'!$K22,'Eingabe Preise'!$I22)</f>
        <v>8804.9175197542936</v>
      </c>
      <c r="T167" s="20" t="s">
        <v>109</v>
      </c>
    </row>
    <row r="168" spans="2:20" ht="15.75" hidden="1" outlineLevel="1" x14ac:dyDescent="0.3">
      <c r="B168" s="17"/>
      <c r="C168" s="17"/>
      <c r="D168" s="17"/>
      <c r="E168" s="17"/>
      <c r="F168" s="20"/>
      <c r="G168" s="20"/>
      <c r="H168" s="20"/>
      <c r="I168" s="17"/>
      <c r="J168" s="17"/>
      <c r="K168" s="20"/>
      <c r="L168" s="20"/>
      <c r="M168" s="43"/>
      <c r="N168" s="17"/>
      <c r="O168" s="17" t="s">
        <v>203</v>
      </c>
      <c r="P168" s="17"/>
      <c r="Q168" s="30"/>
      <c r="R168" s="17"/>
      <c r="S168" s="42">
        <f>H202*IF(NOT(ISBLANK('Eingabe Preise'!$K23)),'Eingabe Preise'!$K23,'Eingabe Preise'!$I23)</f>
        <v>472823.92889207968</v>
      </c>
      <c r="T168" s="20" t="s">
        <v>109</v>
      </c>
    </row>
    <row r="169" spans="2:20" ht="14.25" hidden="1" outlineLevel="1" x14ac:dyDescent="0.25">
      <c r="B169" s="69"/>
      <c r="C169" s="69" t="s">
        <v>178</v>
      </c>
      <c r="D169" s="70"/>
      <c r="E169" s="70"/>
      <c r="F169" s="71">
        <f>SUM(F170:F172)</f>
        <v>0</v>
      </c>
      <c r="G169" s="71">
        <f>SUM(G170:G172)</f>
        <v>0</v>
      </c>
      <c r="H169" s="71">
        <f>SUM(H170:H172)</f>
        <v>387.03000000000003</v>
      </c>
      <c r="I169" s="70"/>
      <c r="J169" s="71">
        <f t="shared" ref="J169" si="50">F169+G169</f>
        <v>0</v>
      </c>
      <c r="K169" s="71">
        <f t="shared" ref="K169" si="51">SUM(F169:H169)</f>
        <v>387.03000000000003</v>
      </c>
      <c r="L169" s="76" t="s">
        <v>198</v>
      </c>
      <c r="M169" s="43"/>
      <c r="N169" s="17"/>
      <c r="O169" s="17"/>
      <c r="P169" s="17"/>
      <c r="Q169" s="30"/>
      <c r="R169" s="17"/>
      <c r="S169" s="66"/>
      <c r="T169" s="17"/>
    </row>
    <row r="170" spans="2:20" ht="15.75" hidden="1" outlineLevel="1" x14ac:dyDescent="0.3">
      <c r="B170" s="17"/>
      <c r="C170" s="17"/>
      <c r="D170" s="17" t="s">
        <v>179</v>
      </c>
      <c r="E170" s="17"/>
      <c r="F170" s="38">
        <f>IF(NOT(ISBLANK('Referenz Pflasterwerk'!$I42)),'Referenz Pflasterwerk'!$I42,'Referenz Pflasterwerk'!$F42)*IF(NOT(ISBLANK('Eingabe EF'!$AA27)),'Eingabe EF'!$AA27,'Eingabe EF'!$Y27)*IF(NOT(ISBLANK('Referenz Pflasterwerk'!$I$12)),'Referenz Pflasterwerk'!$I$12,'Referenz Pflasterwerk'!$F$12)</f>
        <v>0</v>
      </c>
      <c r="G170" s="38">
        <f>IF(NOT(ISBLANK('Referenz Pflasterwerk'!$I42)),'Referenz Pflasterwerk'!$I42,'Referenz Pflasterwerk'!$F42)*IF(NOT(ISBLANK('Eingabe EF'!$AE27)),'Eingabe EF'!$AE27,'Eingabe EF'!$AC27)*IF(NOT(ISBLANK('Referenz Pflasterwerk'!$I$12)),'Referenz Pflasterwerk'!$I$12,'Referenz Pflasterwerk'!$F$12)</f>
        <v>0</v>
      </c>
      <c r="H170" s="38">
        <f>IF(NOT(ISBLANK('Referenz Pflasterwerk'!$I42)),'Referenz Pflasterwerk'!$I42,'Referenz Pflasterwerk'!$F42)*IF(NOT(ISBLANK('Eingabe EF'!$AI27)),'Eingabe EF'!$AI27,'Eingabe EF'!$AG27)*IF(NOT(ISBLANK('Referenz Pflasterwerk'!$I$12)),'Referenz Pflasterwerk'!$I$12,'Referenz Pflasterwerk'!$F$12)</f>
        <v>387.03000000000003</v>
      </c>
      <c r="I170" s="17"/>
      <c r="J170" s="38">
        <f>F170+G170</f>
        <v>0</v>
      </c>
      <c r="K170" s="38">
        <f>SUM(F170:H170)</f>
        <v>387.03000000000003</v>
      </c>
      <c r="L170" s="17" t="s">
        <v>199</v>
      </c>
      <c r="M170" s="43"/>
      <c r="N170" s="17"/>
      <c r="O170" s="17"/>
      <c r="P170" s="17"/>
      <c r="Q170" s="30"/>
      <c r="R170" s="17"/>
      <c r="S170" s="17"/>
      <c r="T170" s="17"/>
    </row>
    <row r="171" spans="2:20" ht="15.75" hidden="1" outlineLevel="1" x14ac:dyDescent="0.3">
      <c r="B171" s="17"/>
      <c r="C171" s="17"/>
      <c r="D171" s="17" t="s">
        <v>180</v>
      </c>
      <c r="E171" s="17"/>
      <c r="F171" s="38">
        <f>IF(NOT(ISBLANK('Referenz Pflasterwerk'!$I43)),'Referenz Pflasterwerk'!$I43,'Referenz Pflasterwerk'!$F43)*IF(NOT(ISBLANK('Eingabe EF'!$AA28)),'Eingabe EF'!$AA28,0)*IF(NOT(ISBLANK('Referenz Pflasterwerk'!$I$12)),'Referenz Pflasterwerk'!$I$12,'Referenz Pflasterwerk'!$F$12)</f>
        <v>0</v>
      </c>
      <c r="G171" s="38">
        <f>IF(NOT(ISBLANK('Referenz Pflasterwerk'!$I43)),'Referenz Pflasterwerk'!$I43,'Referenz Pflasterwerk'!$F43)*IF(NOT(ISBLANK('Eingabe EF'!$AE28)),'Eingabe EF'!$AE28,0)*IF(NOT(ISBLANK('Referenz Pflasterwerk'!$I$12)),'Referenz Pflasterwerk'!$I$12,'Referenz Pflasterwerk'!$F$12)</f>
        <v>0</v>
      </c>
      <c r="H171" s="38">
        <f>IF(NOT(ISBLANK('Referenz Pflasterwerk'!$I43)),'Referenz Pflasterwerk'!$I43,'Referenz Pflasterwerk'!$F43)*IF(NOT(ISBLANK('Eingabe EF'!$AI28)),'Eingabe EF'!$AI28,0)*IF(NOT(ISBLANK('Referenz Pflasterwerk'!$I$12)),'Referenz Pflasterwerk'!$I$12,'Referenz Pflasterwerk'!$F$12)</f>
        <v>0</v>
      </c>
      <c r="I171" s="17"/>
      <c r="J171" s="38">
        <f t="shared" ref="J171:J172" si="52">F171+G171</f>
        <v>0</v>
      </c>
      <c r="K171" s="38">
        <f t="shared" ref="K171:K172" si="53">SUM(F171:H171)</f>
        <v>0</v>
      </c>
      <c r="L171" s="17" t="s">
        <v>199</v>
      </c>
      <c r="M171" s="43"/>
      <c r="N171" s="17"/>
      <c r="O171" s="17"/>
      <c r="P171" s="17"/>
      <c r="Q171" s="30"/>
      <c r="R171" s="17"/>
      <c r="S171" s="66"/>
      <c r="T171" s="17"/>
    </row>
    <row r="172" spans="2:20" ht="15.75" hidden="1" outlineLevel="1" x14ac:dyDescent="0.3">
      <c r="B172" s="17"/>
      <c r="C172" s="17"/>
      <c r="D172" s="17" t="s">
        <v>181</v>
      </c>
      <c r="E172" s="17"/>
      <c r="F172" s="38">
        <f>IF(NOT(ISBLANK('Referenz Pflasterwerk'!$I44)),'Referenz Pflasterwerk'!$I44,'Referenz Pflasterwerk'!$F44)*IF(NOT(ISBLANK('Eingabe EF'!$AA29)),'Eingabe EF'!$AA29,0)*IF(NOT(ISBLANK('Referenz Pflasterwerk'!$I$12)),'Referenz Pflasterwerk'!$I$12,'Referenz Pflasterwerk'!$F$12)</f>
        <v>0</v>
      </c>
      <c r="G172" s="38">
        <f>IF(NOT(ISBLANK('Referenz Pflasterwerk'!$I44)),'Referenz Pflasterwerk'!$I44,'Referenz Pflasterwerk'!$F44)*IF(NOT(ISBLANK('Eingabe EF'!$AE29)),'Eingabe EF'!$AE29,0)*IF(NOT(ISBLANK('Referenz Pflasterwerk'!$I$12)),'Referenz Pflasterwerk'!$I$12,'Referenz Pflasterwerk'!$F$12)</f>
        <v>0</v>
      </c>
      <c r="H172" s="38">
        <f>IF(NOT(ISBLANK('Referenz Pflasterwerk'!$I44)),'Referenz Pflasterwerk'!$I44,'Referenz Pflasterwerk'!$F44)*IF(NOT(ISBLANK('Eingabe EF'!$AI29)),'Eingabe EF'!$AI29,0)*IF(NOT(ISBLANK('Referenz Pflasterwerk'!$I$12)),'Referenz Pflasterwerk'!$I$12,'Referenz Pflasterwerk'!$F$12)</f>
        <v>0</v>
      </c>
      <c r="I172" s="17"/>
      <c r="J172" s="38">
        <f t="shared" si="52"/>
        <v>0</v>
      </c>
      <c r="K172" s="38">
        <f t="shared" si="53"/>
        <v>0</v>
      </c>
      <c r="L172" s="17" t="s">
        <v>199</v>
      </c>
      <c r="M172" s="43"/>
      <c r="N172" s="43"/>
      <c r="O172" s="43"/>
      <c r="P172" s="43"/>
      <c r="Q172" s="43"/>
      <c r="R172" s="43"/>
      <c r="S172" s="43"/>
    </row>
    <row r="173" spans="2:20" hidden="1" outlineLevel="1" x14ac:dyDescent="0.2">
      <c r="B173" s="17"/>
      <c r="C173" s="17"/>
      <c r="D173" s="17"/>
      <c r="E173" s="17"/>
      <c r="F173" s="20"/>
      <c r="G173" s="20"/>
      <c r="H173" s="20"/>
      <c r="I173" s="17"/>
      <c r="J173" s="17"/>
      <c r="K173" s="20"/>
      <c r="L173" s="20"/>
      <c r="M173" s="43"/>
      <c r="N173" s="43"/>
      <c r="O173" s="43"/>
      <c r="P173" s="43"/>
      <c r="Q173" s="43"/>
      <c r="R173" s="43"/>
      <c r="S173" s="43"/>
    </row>
    <row r="174" spans="2:20" ht="14.25" hidden="1" outlineLevel="1" x14ac:dyDescent="0.25">
      <c r="B174" s="17"/>
      <c r="C174" s="17"/>
      <c r="D174" s="21" t="s">
        <v>58</v>
      </c>
      <c r="E174" s="21"/>
      <c r="F174" s="74">
        <f>IF(NOT(ISBLANK('Referenz Pflasterwerk'!$I46)),'Referenz Pflasterwerk'!$I46,'Referenz Pflasterwerk'!$F46)*IF(NOT(ISBLANK('Eingabe EF'!$AA31)),'Eingabe EF'!$AA31,'Eingabe EF'!$Y31)*IF(NOT(ISBLANK('Referenz Pflasterwerk'!$I$12)),'Referenz Pflasterwerk'!$I$12,'Referenz Pflasterwerk'!$F$12)</f>
        <v>0</v>
      </c>
      <c r="G174" s="74">
        <f>IF(NOT(ISBLANK('Referenz Pflasterwerk'!$I46)),'Referenz Pflasterwerk'!$I46,'Referenz Pflasterwerk'!$F46)*IF(NOT(ISBLANK('Eingabe EF'!$AE31)),'Eingabe EF'!$AE31,'Eingabe EF'!$AC31)*IF(NOT(ISBLANK('Referenz Pflasterwerk'!$I$12)),'Referenz Pflasterwerk'!$I$12,'Referenz Pflasterwerk'!$F$12)</f>
        <v>0</v>
      </c>
      <c r="H174" s="74">
        <f>IF(NOT(ISBLANK('Referenz Pflasterwerk'!$I46)),'Referenz Pflasterwerk'!$I46,'Referenz Pflasterwerk'!$F46)*IF(NOT(ISBLANK('Eingabe EF'!$AI31)),'Eingabe EF'!$AI31,'Eingabe EF'!$AG31)*IF(NOT(ISBLANK('Referenz Pflasterwerk'!$I$12)),'Referenz Pflasterwerk'!$I$12,'Referenz Pflasterwerk'!$F$12)</f>
        <v>1040</v>
      </c>
      <c r="I174" s="21"/>
      <c r="J174" s="74">
        <f>F174+G174</f>
        <v>0</v>
      </c>
      <c r="K174" s="74">
        <f t="shared" ref="K174" si="54">SUM(F174:H174)</f>
        <v>1040</v>
      </c>
      <c r="L174" s="21" t="s">
        <v>198</v>
      </c>
      <c r="M174" s="43"/>
      <c r="N174" s="43"/>
      <c r="O174" s="43"/>
      <c r="P174" s="43"/>
      <c r="Q174" s="43"/>
      <c r="R174" s="43"/>
      <c r="S174" s="43"/>
    </row>
    <row r="175" spans="2:20" hidden="1" outlineLevel="1" x14ac:dyDescent="0.2">
      <c r="B175" s="17"/>
      <c r="C175" s="17"/>
      <c r="D175" s="17"/>
      <c r="E175" s="17"/>
      <c r="F175" s="20"/>
      <c r="G175" s="20"/>
      <c r="H175" s="20"/>
      <c r="I175" s="17"/>
      <c r="J175" s="17"/>
      <c r="K175" s="20"/>
      <c r="L175" s="20"/>
      <c r="M175" s="43"/>
      <c r="N175" s="43"/>
      <c r="O175" s="43"/>
      <c r="P175" s="43"/>
      <c r="Q175" s="43"/>
      <c r="R175" s="43"/>
      <c r="S175" s="43"/>
    </row>
    <row r="176" spans="2:20" ht="14.25" hidden="1" outlineLevel="1" x14ac:dyDescent="0.25">
      <c r="B176" s="69"/>
      <c r="C176" s="69" t="s">
        <v>182</v>
      </c>
      <c r="D176" s="70"/>
      <c r="E176" s="70"/>
      <c r="F176" s="71">
        <f>SUM(F177:F179)</f>
        <v>0</v>
      </c>
      <c r="G176" s="71">
        <f>SUM(G177:G179)</f>
        <v>0</v>
      </c>
      <c r="H176" s="71">
        <f>SUM(H177:H179)</f>
        <v>424.19999999999993</v>
      </c>
      <c r="I176" s="70"/>
      <c r="J176" s="71">
        <f t="shared" ref="J176" si="55">F176+G176</f>
        <v>0</v>
      </c>
      <c r="K176" s="71">
        <f t="shared" ref="K176" si="56">SUM(F176:H176)</f>
        <v>424.19999999999993</v>
      </c>
      <c r="L176" s="76" t="s">
        <v>198</v>
      </c>
      <c r="M176" s="43"/>
      <c r="N176" s="43"/>
      <c r="O176" s="43"/>
      <c r="P176" s="43"/>
      <c r="Q176" s="43"/>
      <c r="R176" s="43"/>
      <c r="S176" s="43"/>
    </row>
    <row r="177" spans="2:19" ht="15.75" hidden="1" outlineLevel="1" x14ac:dyDescent="0.3">
      <c r="B177" s="17"/>
      <c r="C177" s="17"/>
      <c r="D177" s="17" t="s">
        <v>60</v>
      </c>
      <c r="E177" s="17"/>
      <c r="F177" s="38">
        <f>IF(NOT(ISBLANK('Referenz Pflasterwerk'!$I49)),'Referenz Pflasterwerk'!$I49,'Referenz Pflasterwerk'!$F49)*IF(NOT(ISBLANK('Eingabe EF'!$AA34)),'Eingabe EF'!$AA34,'Eingabe EF'!$Y34)*IF(NOT(ISBLANK('Referenz Pflasterwerk'!$I$12)),'Referenz Pflasterwerk'!$I$12,'Referenz Pflasterwerk'!$F$12)</f>
        <v>0</v>
      </c>
      <c r="G177" s="38">
        <f>IF(NOT(ISBLANK('Referenz Pflasterwerk'!$I49)),'Referenz Pflasterwerk'!$I49,'Referenz Pflasterwerk'!$F49)*IF(NOT(ISBLANK('Eingabe EF'!$AE34)),'Eingabe EF'!$AE34,'Eingabe EF'!$AC34)*IF(NOT(ISBLANK('Referenz Pflasterwerk'!$I$12)),'Referenz Pflasterwerk'!$I$12,'Referenz Pflasterwerk'!$F$12)</f>
        <v>0</v>
      </c>
      <c r="H177" s="38">
        <f>IF(NOT(ISBLANK('Referenz Pflasterwerk'!$I49)),'Referenz Pflasterwerk'!$I49,'Referenz Pflasterwerk'!$F49)*IF(NOT(ISBLANK('Eingabe EF'!$AI34)),'Eingabe EF'!$AI34,'Eingabe EF'!$AG34)*IF(NOT(ISBLANK('Referenz Pflasterwerk'!$I$12)),'Referenz Pflasterwerk'!$I$12,'Referenz Pflasterwerk'!$F$12)</f>
        <v>356.4</v>
      </c>
      <c r="I177" s="17"/>
      <c r="J177" s="38">
        <f>F177+G177</f>
        <v>0</v>
      </c>
      <c r="K177" s="38">
        <f>SUM(F177:H177)</f>
        <v>356.4</v>
      </c>
      <c r="L177" s="17" t="s">
        <v>199</v>
      </c>
      <c r="M177" s="43"/>
      <c r="N177" s="43"/>
      <c r="O177" s="43"/>
      <c r="P177" s="43"/>
      <c r="Q177" s="43"/>
      <c r="R177" s="43"/>
      <c r="S177" s="43"/>
    </row>
    <row r="178" spans="2:19" ht="15.75" hidden="1" outlineLevel="1" x14ac:dyDescent="0.3">
      <c r="B178" s="17"/>
      <c r="C178" s="17"/>
      <c r="D178" s="17" t="s">
        <v>61</v>
      </c>
      <c r="E178" s="17"/>
      <c r="F178" s="38">
        <f>IF(NOT(ISBLANK('Referenz Pflasterwerk'!$I50)),'Referenz Pflasterwerk'!$I50,'Referenz Pflasterwerk'!$F50)*IF(NOT(ISBLANK('Eingabe EF'!$AA35)),'Eingabe EF'!$AA35,'Eingabe EF'!$Y35)*IF(NOT(ISBLANK('Referenz Pflasterwerk'!$I$12)),'Referenz Pflasterwerk'!$I$12,'Referenz Pflasterwerk'!$F$12)</f>
        <v>0</v>
      </c>
      <c r="G178" s="38">
        <f>IF(NOT(ISBLANK('Referenz Pflasterwerk'!$I50)),'Referenz Pflasterwerk'!$I50,'Referenz Pflasterwerk'!$F50)*IF(NOT(ISBLANK('Eingabe EF'!$AE35)),'Eingabe EF'!$AE35,'Eingabe EF'!$AC35)*IF(NOT(ISBLANK('Referenz Pflasterwerk'!$I$12)),'Referenz Pflasterwerk'!$I$12,'Referenz Pflasterwerk'!$F$12)</f>
        <v>0</v>
      </c>
      <c r="H178" s="38">
        <f>IF(NOT(ISBLANK('Referenz Pflasterwerk'!$I50)),'Referenz Pflasterwerk'!$I50,'Referenz Pflasterwerk'!$F50)*IF(NOT(ISBLANK('Eingabe EF'!$AI35)),'Eingabe EF'!$AI35,'Eingabe EF'!$AG35)*IF(NOT(ISBLANK('Referenz Pflasterwerk'!$I$12)),'Referenz Pflasterwerk'!$I$12,'Referenz Pflasterwerk'!$F$12)</f>
        <v>0</v>
      </c>
      <c r="I178" s="17"/>
      <c r="J178" s="38">
        <f>F178+G178</f>
        <v>0</v>
      </c>
      <c r="K178" s="38">
        <f>SUM(F178:H178)</f>
        <v>0</v>
      </c>
      <c r="L178" s="17" t="s">
        <v>199</v>
      </c>
      <c r="M178" s="43"/>
      <c r="N178" s="43"/>
      <c r="O178" s="43"/>
      <c r="P178" s="43"/>
      <c r="Q178" s="43"/>
      <c r="R178" s="43"/>
      <c r="S178" s="43"/>
    </row>
    <row r="179" spans="2:19" ht="15.75" hidden="1" outlineLevel="1" x14ac:dyDescent="0.3">
      <c r="B179" s="17"/>
      <c r="C179" s="17"/>
      <c r="D179" s="17" t="s">
        <v>62</v>
      </c>
      <c r="E179" s="17"/>
      <c r="F179" s="38">
        <f>IF(NOT(ISBLANK('Referenz Pflasterwerk'!$I51)),'Referenz Pflasterwerk'!$I51,'Referenz Pflasterwerk'!$F51)*IF(NOT(ISBLANK('Eingabe EF'!$AA36)),'Eingabe EF'!$AA36,'Eingabe EF'!$Y36)*IF(NOT(ISBLANK('Referenz Pflasterwerk'!$I$12)),'Referenz Pflasterwerk'!$I$12,'Referenz Pflasterwerk'!$F$12)</f>
        <v>0</v>
      </c>
      <c r="G179" s="38">
        <f>IF(NOT(ISBLANK('Referenz Pflasterwerk'!$I51)),'Referenz Pflasterwerk'!$I51,'Referenz Pflasterwerk'!$F51)*IF(NOT(ISBLANK('Eingabe EF'!$AE36)),'Eingabe EF'!$AE36,'Eingabe EF'!$AC36)*IF(NOT(ISBLANK('Referenz Pflasterwerk'!$I$12)),'Referenz Pflasterwerk'!$I$12,'Referenz Pflasterwerk'!$F$12)</f>
        <v>0</v>
      </c>
      <c r="H179" s="38">
        <f>IF(NOT(ISBLANK('Referenz Pflasterwerk'!$I51)),'Referenz Pflasterwerk'!$I51,'Referenz Pflasterwerk'!$F51)*IF(NOT(ISBLANK('Eingabe EF'!$AI36)),'Eingabe EF'!$AI36,'Eingabe EF'!$AG36)*IF(NOT(ISBLANK('Referenz Pflasterwerk'!$I$12)),'Referenz Pflasterwerk'!$I$12,'Referenz Pflasterwerk'!$F$12)</f>
        <v>67.799999999999983</v>
      </c>
      <c r="I179" s="17"/>
      <c r="J179" s="38">
        <f>F179+G179</f>
        <v>0</v>
      </c>
      <c r="K179" s="38">
        <f>SUM(F179:H179)</f>
        <v>67.799999999999983</v>
      </c>
      <c r="L179" s="17" t="s">
        <v>199</v>
      </c>
      <c r="M179" s="43"/>
      <c r="N179" s="43"/>
      <c r="O179" s="43"/>
      <c r="P179" s="43"/>
      <c r="Q179" s="43"/>
      <c r="R179" s="43"/>
      <c r="S179" s="43"/>
    </row>
    <row r="180" spans="2:19" hidden="1" outlineLevel="1" x14ac:dyDescent="0.2">
      <c r="B180" s="17"/>
      <c r="C180" s="17"/>
      <c r="D180" s="17"/>
      <c r="E180" s="17"/>
      <c r="F180" s="20"/>
      <c r="G180" s="20"/>
      <c r="H180" s="20"/>
      <c r="I180" s="17"/>
      <c r="J180" s="17"/>
      <c r="K180" s="20"/>
      <c r="L180" s="20"/>
      <c r="M180" s="43"/>
      <c r="N180" s="43"/>
      <c r="O180" s="43"/>
      <c r="P180" s="43"/>
      <c r="Q180" s="43"/>
      <c r="R180" s="43"/>
      <c r="S180" s="43"/>
    </row>
    <row r="181" spans="2:19" ht="14.25" hidden="1" outlineLevel="1" x14ac:dyDescent="0.25">
      <c r="B181" s="69"/>
      <c r="C181" s="69" t="s">
        <v>52</v>
      </c>
      <c r="D181" s="70"/>
      <c r="E181" s="70"/>
      <c r="F181" s="71">
        <f>SUM(F182:F185)</f>
        <v>0</v>
      </c>
      <c r="G181" s="71">
        <f>SUM(G182:G185)</f>
        <v>0</v>
      </c>
      <c r="H181" s="71">
        <f>SUM(H182:H185)</f>
        <v>185.55932668689491</v>
      </c>
      <c r="I181" s="70"/>
      <c r="J181" s="71">
        <f t="shared" ref="J181" si="57">F181+G181</f>
        <v>0</v>
      </c>
      <c r="K181" s="71">
        <f t="shared" ref="K181" si="58">SUM(F181:H181)</f>
        <v>185.55932668689491</v>
      </c>
      <c r="L181" s="76" t="s">
        <v>198</v>
      </c>
      <c r="M181" s="43"/>
      <c r="N181" s="43"/>
      <c r="O181" s="43"/>
      <c r="P181" s="43"/>
      <c r="Q181" s="43"/>
      <c r="R181" s="43"/>
      <c r="S181" s="43"/>
    </row>
    <row r="182" spans="2:19" ht="15.75" hidden="1" outlineLevel="1" x14ac:dyDescent="0.3">
      <c r="B182" s="17"/>
      <c r="C182" s="17"/>
      <c r="D182" s="17" t="s">
        <v>53</v>
      </c>
      <c r="E182" s="17"/>
      <c r="F182" s="38">
        <f>IF(NOT(ISBLANK('Referenz Pflasterwerk'!$I$53)),'Referenz Pflasterwerk'!$I$53,'Referenz Pflasterwerk'!$F$53)*IF(NOT(ISBLANK('Referenz Pflasterwerk'!$I54)),'Referenz Pflasterwerk'!$I54,'Referenz Pflasterwerk'!$F54)*IF(NOT(ISBLANK('Eingabe EF'!$AA39)),'Eingabe EF'!$AA39,'Eingabe EF'!$Y39)*IF(NOT(ISBLANK('Referenz Pflasterwerk'!$I$12)),'Referenz Pflasterwerk'!$I$12,'Referenz Pflasterwerk'!$F$12)</f>
        <v>0</v>
      </c>
      <c r="G182" s="38">
        <f>IF(NOT(ISBLANK('Referenz Pflasterwerk'!$I$53)),'Referenz Pflasterwerk'!$I$53,'Referenz Pflasterwerk'!$F$53)*IF(NOT(ISBLANK('Referenz Pflasterwerk'!$I54)),'Referenz Pflasterwerk'!$I54,'Referenz Pflasterwerk'!$F54)*IF(NOT(ISBLANK('Eingabe EF'!$AE39)),'Eingabe EF'!$AE39,'Eingabe EF'!$AC39)*IF(NOT(ISBLANK('Referenz Pflasterwerk'!$I$12)),'Referenz Pflasterwerk'!$I$12,'Referenz Pflasterwerk'!$F$12)</f>
        <v>0</v>
      </c>
      <c r="H182" s="38">
        <f>IF(NOT(ISBLANK('Referenz Pflasterwerk'!$I$53)),'Referenz Pflasterwerk'!$I$53,'Referenz Pflasterwerk'!$F$53)*IF(NOT(ISBLANK('Referenz Pflasterwerk'!$I54)),'Referenz Pflasterwerk'!$I54,'Referenz Pflasterwerk'!$F54)*IF(NOT(ISBLANK('Eingabe EF'!$AI39)),'Eingabe EF'!$AI39,'Eingabe EF'!$AG39)*IF(NOT(ISBLANK('Referenz Pflasterwerk'!$I$12)),'Referenz Pflasterwerk'!$I$12,'Referenz Pflasterwerk'!$F$12)</f>
        <v>59.997399219765924</v>
      </c>
      <c r="I182" s="17"/>
      <c r="J182" s="38">
        <f t="shared" ref="J182:J185" si="59">F182+G182</f>
        <v>0</v>
      </c>
      <c r="K182" s="38">
        <f t="shared" ref="K182:K185" si="60">SUM(F182:H182)</f>
        <v>59.997399219765924</v>
      </c>
      <c r="L182" s="17" t="s">
        <v>199</v>
      </c>
      <c r="M182" s="43"/>
      <c r="N182" s="43"/>
      <c r="O182" s="43"/>
      <c r="P182" s="43"/>
      <c r="Q182" s="43"/>
      <c r="R182" s="43"/>
      <c r="S182" s="43"/>
    </row>
    <row r="183" spans="2:19" ht="15.75" hidden="1" outlineLevel="1" x14ac:dyDescent="0.3">
      <c r="B183" s="17"/>
      <c r="C183" s="17"/>
      <c r="D183" s="17" t="s">
        <v>55</v>
      </c>
      <c r="E183" s="17"/>
      <c r="F183" s="38">
        <f>IF(NOT(ISBLANK('Referenz Pflasterwerk'!$I$53)),'Referenz Pflasterwerk'!$I$53,'Referenz Pflasterwerk'!$F$53)*IF(NOT(ISBLANK('Referenz Pflasterwerk'!$I55)),'Referenz Pflasterwerk'!$I55,'Referenz Pflasterwerk'!$F55)*IF(NOT(ISBLANK('Eingabe EF'!$AA40)),'Eingabe EF'!$AA40,'Eingabe EF'!$Y40)*IF(NOT(ISBLANK('Referenz Pflasterwerk'!$I$12)),'Referenz Pflasterwerk'!$I$12,'Referenz Pflasterwerk'!$F$12)</f>
        <v>0</v>
      </c>
      <c r="G183" s="38">
        <f>IF(NOT(ISBLANK('Referenz Pflasterwerk'!$I$53)),'Referenz Pflasterwerk'!$I$53,'Referenz Pflasterwerk'!$F$53)*IF(NOT(ISBLANK('Referenz Pflasterwerk'!$I55)),'Referenz Pflasterwerk'!$I55,'Referenz Pflasterwerk'!$F55)*IF(NOT(ISBLANK('Eingabe EF'!$AE40)),'Eingabe EF'!$AE40,'Eingabe EF'!$AC40)*IF(NOT(ISBLANK('Referenz Pflasterwerk'!$I$12)),'Referenz Pflasterwerk'!$I$12,'Referenz Pflasterwerk'!$F$12)</f>
        <v>0</v>
      </c>
      <c r="H183" s="38">
        <f>IF(NOT(ISBLANK('Referenz Pflasterwerk'!$I$53)),'Referenz Pflasterwerk'!$I$53,'Referenz Pflasterwerk'!$F$53)*IF(NOT(ISBLANK('Referenz Pflasterwerk'!$I55)),'Referenz Pflasterwerk'!$I55,'Referenz Pflasterwerk'!$F55)*IF(NOT(ISBLANK('Eingabe EF'!$AI40)),'Eingabe EF'!$AI40,'Eingabe EF'!$AG40)*IF(NOT(ISBLANK('Referenz Pflasterwerk'!$I$12)),'Referenz Pflasterwerk'!$I$12,'Referenz Pflasterwerk'!$F$12)</f>
        <v>7.224692963444574</v>
      </c>
      <c r="I183" s="17"/>
      <c r="J183" s="38">
        <f t="shared" si="59"/>
        <v>0</v>
      </c>
      <c r="K183" s="38">
        <f t="shared" si="60"/>
        <v>7.224692963444574</v>
      </c>
      <c r="L183" s="17" t="s">
        <v>199</v>
      </c>
      <c r="M183" s="43"/>
      <c r="N183" s="43"/>
      <c r="O183" s="43"/>
      <c r="P183" s="43"/>
      <c r="Q183" s="43"/>
      <c r="R183" s="43"/>
      <c r="S183" s="43"/>
    </row>
    <row r="184" spans="2:19" ht="15.75" hidden="1" outlineLevel="1" x14ac:dyDescent="0.3">
      <c r="B184" s="17"/>
      <c r="C184" s="17"/>
      <c r="D184" s="17" t="s">
        <v>56</v>
      </c>
      <c r="E184" s="17"/>
      <c r="F184" s="38">
        <f>IF(NOT(ISBLANK('Referenz Pflasterwerk'!$I$53)),'Referenz Pflasterwerk'!$I$53,'Referenz Pflasterwerk'!$F$53)*IF(NOT(ISBLANK('Referenz Pflasterwerk'!$I56)),'Referenz Pflasterwerk'!$I56,'Referenz Pflasterwerk'!$F56)*IF(NOT(ISBLANK('Eingabe EF'!$AA41)),'Eingabe EF'!$AA41,'Eingabe EF'!$Y41)*IF(NOT(ISBLANK('Referenz Pflasterwerk'!$I$12)),'Referenz Pflasterwerk'!$I$12,'Referenz Pflasterwerk'!$F$12)</f>
        <v>0</v>
      </c>
      <c r="G184" s="38">
        <f>IF(NOT(ISBLANK('Referenz Pflasterwerk'!$I$53)),'Referenz Pflasterwerk'!$I$53,'Referenz Pflasterwerk'!$F$53)*IF(NOT(ISBLANK('Referenz Pflasterwerk'!$I56)),'Referenz Pflasterwerk'!$I56,'Referenz Pflasterwerk'!$F56)*IF(NOT(ISBLANK('Eingabe EF'!$AE41)),'Eingabe EF'!$AE41,'Eingabe EF'!$AC41)*IF(NOT(ISBLANK('Referenz Pflasterwerk'!$I$12)),'Referenz Pflasterwerk'!$I$12,'Referenz Pflasterwerk'!$F$12)</f>
        <v>0</v>
      </c>
      <c r="H184" s="38">
        <f>IF(NOT(ISBLANK('Referenz Pflasterwerk'!$I$53)),'Referenz Pflasterwerk'!$I$53,'Referenz Pflasterwerk'!$F$53)*IF(NOT(ISBLANK('Referenz Pflasterwerk'!$I56)),'Referenz Pflasterwerk'!$I56,'Referenz Pflasterwerk'!$F56)*IF(NOT(ISBLANK('Eingabe EF'!$AI41)),'Eingabe EF'!$AI41,'Eingabe EF'!$AG41)*IF(NOT(ISBLANK('Referenz Pflasterwerk'!$I$12)),'Referenz Pflasterwerk'!$I$12,'Referenz Pflasterwerk'!$F$12)</f>
        <v>1.7771998266146515E-2</v>
      </c>
      <c r="I184" s="17"/>
      <c r="J184" s="38">
        <f t="shared" si="59"/>
        <v>0</v>
      </c>
      <c r="K184" s="38">
        <f t="shared" si="60"/>
        <v>1.7771998266146515E-2</v>
      </c>
      <c r="L184" s="17" t="s">
        <v>199</v>
      </c>
      <c r="M184" s="43"/>
      <c r="N184" s="43"/>
      <c r="O184" s="43"/>
      <c r="P184" s="43"/>
      <c r="Q184" s="43"/>
      <c r="R184" s="43"/>
      <c r="S184" s="43"/>
    </row>
    <row r="185" spans="2:19" ht="15.75" hidden="1" outlineLevel="1" x14ac:dyDescent="0.3">
      <c r="B185" s="17"/>
      <c r="C185" s="17"/>
      <c r="D185" s="17" t="s">
        <v>57</v>
      </c>
      <c r="E185" s="17"/>
      <c r="F185" s="38">
        <f>IF(NOT(ISBLANK('Referenz Pflasterwerk'!$I$53)),'Referenz Pflasterwerk'!$I$53,'Referenz Pflasterwerk'!$F$53)*IF(NOT(ISBLANK('Referenz Pflasterwerk'!$I57)),'Referenz Pflasterwerk'!$I57,'Referenz Pflasterwerk'!$F57)*IF(NOT(ISBLANK('Eingabe EF'!$AA42)),'Eingabe EF'!$AA42,'Eingabe EF'!$Y42)*IF(NOT(ISBLANK('Referenz Pflasterwerk'!$I$12)),'Referenz Pflasterwerk'!$I$12,'Referenz Pflasterwerk'!$F$12)</f>
        <v>0</v>
      </c>
      <c r="G185" s="38">
        <f>IF(NOT(ISBLANK('Referenz Pflasterwerk'!$I$53)),'Referenz Pflasterwerk'!$I$53,'Referenz Pflasterwerk'!$F$53)*IF(NOT(ISBLANK('Referenz Pflasterwerk'!$I57)),'Referenz Pflasterwerk'!$I57,'Referenz Pflasterwerk'!$F57)*IF(NOT(ISBLANK('Eingabe EF'!$AE42)),'Eingabe EF'!$AE42,'Eingabe EF'!$AC42)*IF(NOT(ISBLANK('Referenz Pflasterwerk'!$I$12)),'Referenz Pflasterwerk'!$I$12,'Referenz Pflasterwerk'!$F$12)</f>
        <v>0</v>
      </c>
      <c r="H185" s="38">
        <f>IF(NOT(ISBLANK('Referenz Pflasterwerk'!$I$53)),'Referenz Pflasterwerk'!$I$53,'Referenz Pflasterwerk'!$F$53)*IF(NOT(ISBLANK('Referenz Pflasterwerk'!$I57)),'Referenz Pflasterwerk'!$I57,'Referenz Pflasterwerk'!$F57)*IF(NOT(ISBLANK('Eingabe EF'!$AI42)),'Eingabe EF'!$AI42,'Eingabe EF'!$AG42)*IF(NOT(ISBLANK('Referenz Pflasterwerk'!$I$12)),'Referenz Pflasterwerk'!$I$12,'Referenz Pflasterwerk'!$F$12)</f>
        <v>118.31946250541829</v>
      </c>
      <c r="I185" s="17"/>
      <c r="J185" s="38">
        <f t="shared" si="59"/>
        <v>0</v>
      </c>
      <c r="K185" s="38">
        <f t="shared" si="60"/>
        <v>118.31946250541829</v>
      </c>
      <c r="L185" s="17" t="s">
        <v>199</v>
      </c>
      <c r="M185" s="43"/>
      <c r="N185" s="43"/>
      <c r="O185" s="43"/>
      <c r="P185" s="43"/>
      <c r="Q185" s="43"/>
      <c r="R185" s="43"/>
      <c r="S185" s="43"/>
    </row>
    <row r="186" spans="2:19" hidden="1" outlineLevel="1" x14ac:dyDescent="0.2">
      <c r="B186" s="17"/>
      <c r="C186" s="17"/>
      <c r="D186" s="17"/>
      <c r="E186" s="17"/>
      <c r="F186" s="20"/>
      <c r="G186" s="20"/>
      <c r="H186" s="20"/>
      <c r="I186" s="17"/>
      <c r="J186" s="20"/>
      <c r="K186" s="20"/>
      <c r="L186" s="17"/>
      <c r="M186" s="43"/>
      <c r="N186" s="43"/>
      <c r="O186" s="43"/>
      <c r="P186" s="43"/>
      <c r="Q186" s="43"/>
      <c r="R186" s="43"/>
      <c r="S186" s="43"/>
    </row>
    <row r="187" spans="2:19" ht="14.25" hidden="1" outlineLevel="1" x14ac:dyDescent="0.25">
      <c r="B187" s="17"/>
      <c r="C187" s="17"/>
      <c r="D187" s="21" t="s">
        <v>113</v>
      </c>
      <c r="E187" s="21"/>
      <c r="F187" s="74">
        <f>IF(NOT(ISBLANK('Referenz Pflasterwerk'!$I59)),'Referenz Pflasterwerk'!$I59,'Referenz Pflasterwerk'!$F59)*IF(NOT(ISBLANK('Eingabe EF'!$AA44)),'Eingabe EF'!$AA44,0)*IF(NOT(ISBLANK('Referenz Pflasterwerk'!$I$12)),'Referenz Pflasterwerk'!$I$12,'Referenz Pflasterwerk'!$F$12)</f>
        <v>0</v>
      </c>
      <c r="G187" s="74">
        <f>IF(NOT(ISBLANK('Referenz Pflasterwerk'!$I59)),'Referenz Pflasterwerk'!$I59,'Referenz Pflasterwerk'!$F59)*IF(NOT(ISBLANK('Eingabe EF'!$AE44)),'Eingabe EF'!$AE44,0)*IF(NOT(ISBLANK('Referenz Pflasterwerk'!$I$12)),'Referenz Pflasterwerk'!$I$12,'Referenz Pflasterwerk'!$F$12)</f>
        <v>0</v>
      </c>
      <c r="H187" s="74">
        <f>IF(NOT(ISBLANK('Referenz Pflasterwerk'!$I59)),'Referenz Pflasterwerk'!$I59,'Referenz Pflasterwerk'!$F59)*IF(NOT(ISBLANK('Eingabe EF'!$AI44)),'Eingabe EF'!$AI44,0)*IF(NOT(ISBLANK('Referenz Pflasterwerk'!$I$12)),'Referenz Pflasterwerk'!$I$12,'Referenz Pflasterwerk'!$F$12)</f>
        <v>0</v>
      </c>
      <c r="I187" s="21"/>
      <c r="J187" s="74">
        <f>F187+G187</f>
        <v>0</v>
      </c>
      <c r="K187" s="74">
        <f>SUM(F187:H187)</f>
        <v>0</v>
      </c>
      <c r="L187" s="21" t="s">
        <v>198</v>
      </c>
      <c r="M187" s="43"/>
      <c r="N187" s="43"/>
      <c r="O187" s="43"/>
      <c r="P187" s="43"/>
      <c r="Q187" s="43"/>
      <c r="R187" s="43"/>
      <c r="S187" s="43"/>
    </row>
    <row r="188" spans="2:19" ht="14.25" hidden="1" outlineLevel="1" x14ac:dyDescent="0.25">
      <c r="B188" s="17"/>
      <c r="C188" s="17"/>
      <c r="D188" s="21" t="s">
        <v>65</v>
      </c>
      <c r="E188" s="21"/>
      <c r="F188" s="74">
        <f>IF(NOT(ISBLANK('Referenz Pflasterwerk'!$I60)),'Referenz Pflasterwerk'!$I60,'Referenz Pflasterwerk'!$F60)*IF(NOT(ISBLANK('Eingabe EF'!$AA45)),'Eingabe EF'!$AA45,'Eingabe EF'!$Y45)</f>
        <v>0</v>
      </c>
      <c r="G188" s="74">
        <f>IF(NOT(ISBLANK('Referenz Pflasterwerk'!$I60)),'Referenz Pflasterwerk'!$I60,'Referenz Pflasterwerk'!$F60)*IF(NOT(ISBLANK('Eingabe EF'!$AE45)),'Eingabe EF'!$AE45,'Eingabe EF'!$AC45)</f>
        <v>0</v>
      </c>
      <c r="H188" s="74">
        <f>IF(NOT(ISBLANK('Referenz Pflasterwerk'!$I60)),'Referenz Pflasterwerk'!$I60,'Referenz Pflasterwerk'!$F60)*IF(NOT(ISBLANK('Eingabe EF'!$AI45)),'Eingabe EF'!$AI45,'Eingabe EF'!$AG45)</f>
        <v>5.4399999999999997E-2</v>
      </c>
      <c r="I188" s="21"/>
      <c r="J188" s="74">
        <f>F188+G188</f>
        <v>0</v>
      </c>
      <c r="K188" s="74">
        <f>SUM(F188:H188)</f>
        <v>5.4399999999999997E-2</v>
      </c>
      <c r="L188" s="21" t="s">
        <v>198</v>
      </c>
      <c r="M188" s="43"/>
      <c r="N188" s="43"/>
      <c r="O188" s="43"/>
      <c r="P188" s="43"/>
      <c r="Q188" s="43"/>
      <c r="R188" s="43"/>
      <c r="S188" s="43"/>
    </row>
    <row r="189" spans="2:19" hidden="1" outlineLevel="1" x14ac:dyDescent="0.2">
      <c r="B189" s="17"/>
      <c r="C189" s="17"/>
      <c r="D189" s="17"/>
      <c r="E189" s="17"/>
      <c r="F189" s="20"/>
      <c r="G189" s="20"/>
      <c r="H189" s="20"/>
      <c r="I189" s="17"/>
      <c r="J189" s="20"/>
      <c r="K189" s="20"/>
      <c r="L189" s="17"/>
      <c r="M189" s="43"/>
      <c r="N189" s="43"/>
      <c r="O189" s="43"/>
      <c r="P189" s="43"/>
      <c r="Q189" s="43"/>
      <c r="R189" s="43"/>
      <c r="S189" s="43"/>
    </row>
    <row r="190" spans="2:19" ht="14.25" hidden="1" outlineLevel="1" x14ac:dyDescent="0.25">
      <c r="B190" s="69"/>
      <c r="C190" s="69" t="s">
        <v>183</v>
      </c>
      <c r="D190" s="70"/>
      <c r="E190" s="70"/>
      <c r="F190" s="71">
        <f>SUM(F191:F193)</f>
        <v>0</v>
      </c>
      <c r="G190" s="71">
        <f>SUM(G191:G193)</f>
        <v>0</v>
      </c>
      <c r="H190" s="71">
        <f>SUM(H191:H193)</f>
        <v>0</v>
      </c>
      <c r="I190" s="70"/>
      <c r="J190" s="71">
        <f t="shared" ref="J190" si="61">F190+G190</f>
        <v>0</v>
      </c>
      <c r="K190" s="71">
        <f t="shared" ref="K190" si="62">SUM(F190:H190)</f>
        <v>0</v>
      </c>
      <c r="L190" s="76" t="s">
        <v>198</v>
      </c>
      <c r="M190" s="43"/>
      <c r="N190" s="43"/>
      <c r="O190" s="43"/>
      <c r="P190" s="43"/>
      <c r="Q190" s="43"/>
      <c r="R190" s="43"/>
      <c r="S190" s="43"/>
    </row>
    <row r="191" spans="2:19" ht="15.75" hidden="1" outlineLevel="1" x14ac:dyDescent="0.3">
      <c r="B191" s="17"/>
      <c r="C191" s="17"/>
      <c r="D191" s="17" t="s">
        <v>184</v>
      </c>
      <c r="E191" s="17"/>
      <c r="F191" s="38">
        <f>IF(NOT(ISBLANK('Referenz Pflasterwerk'!$I63)),'Referenz Pflasterwerk'!$I63,'Referenz Pflasterwerk'!$F63)*IF(NOT(ISBLANK('Eingabe EF'!$AA48)),'Eingabe EF'!$AA48,0)*IF(NOT(ISBLANK('Referenz Pflasterwerk'!$I$12)),'Referenz Pflasterwerk'!$I$12,'Referenz Pflasterwerk'!$F$12)</f>
        <v>0</v>
      </c>
      <c r="G191" s="38">
        <f>IF(NOT(ISBLANK('Referenz Pflasterwerk'!$I63)),'Referenz Pflasterwerk'!$I63,'Referenz Pflasterwerk'!$F63)*IF(NOT(ISBLANK('Eingabe EF'!$AE48)),'Eingabe EF'!$AE48,0)*IF(NOT(ISBLANK('Referenz Pflasterwerk'!$I$12)),'Referenz Pflasterwerk'!$I$12,'Referenz Pflasterwerk'!$F$12)</f>
        <v>0</v>
      </c>
      <c r="H191" s="38">
        <f>IF(NOT(ISBLANK('Referenz Pflasterwerk'!$I63)),'Referenz Pflasterwerk'!$I63,'Referenz Pflasterwerk'!$F63)*IF(NOT(ISBLANK('Eingabe EF'!$AI48)),'Eingabe EF'!$AI48,0)*IF(NOT(ISBLANK('Referenz Pflasterwerk'!$I$12)),'Referenz Pflasterwerk'!$I$12,'Referenz Pflasterwerk'!$F$12)</f>
        <v>0</v>
      </c>
      <c r="I191" s="17"/>
      <c r="J191" s="38">
        <f t="shared" ref="J191" si="63">F191+G191</f>
        <v>0</v>
      </c>
      <c r="K191" s="38">
        <f t="shared" ref="K191" si="64">SUM(F191:H191)</f>
        <v>0</v>
      </c>
      <c r="L191" s="17" t="s">
        <v>199</v>
      </c>
      <c r="M191" s="43"/>
      <c r="N191" s="43"/>
      <c r="O191" s="43"/>
      <c r="P191" s="43"/>
      <c r="Q191" s="43"/>
      <c r="R191" s="43"/>
      <c r="S191" s="43"/>
    </row>
    <row r="192" spans="2:19" ht="15.75" hidden="1" outlineLevel="1" x14ac:dyDescent="0.3">
      <c r="B192" s="17"/>
      <c r="C192" s="17"/>
      <c r="D192" s="17" t="s">
        <v>63</v>
      </c>
      <c r="E192" s="17"/>
      <c r="F192" s="38">
        <f>IF(NOT(ISBLANK('Referenz Pflasterwerk'!$I64)),'Referenz Pflasterwerk'!$I64,'Referenz Pflasterwerk'!$F64)*IF(NOT(ISBLANK('Eingabe EF'!$AA49)),'Eingabe EF'!$AA49,'Eingabe EF'!$Y49)*IF(NOT(ISBLANK('Referenz Pflasterwerk'!$I$12)),'Referenz Pflasterwerk'!$I$12,'Referenz Pflasterwerk'!$F$12)</f>
        <v>0</v>
      </c>
      <c r="G192" s="38">
        <f>IF(NOT(ISBLANK('Referenz Pflasterwerk'!$I64)),'Referenz Pflasterwerk'!$I64,'Referenz Pflasterwerk'!$F64)*IF(NOT(ISBLANK('Eingabe EF'!$AE49)),'Eingabe EF'!$AE49,'Eingabe EF'!$AC49)*IF(NOT(ISBLANK('Referenz Pflasterwerk'!$I$12)),'Referenz Pflasterwerk'!$I$12,'Referenz Pflasterwerk'!$F$12)</f>
        <v>0</v>
      </c>
      <c r="H192" s="38">
        <f>IF(NOT(ISBLANK('Referenz Pflasterwerk'!$I64)),'Referenz Pflasterwerk'!$I64,'Referenz Pflasterwerk'!$F64)*IF(NOT(ISBLANK('Eingabe EF'!$AI49)),'Eingabe EF'!$AI49,'Eingabe EF'!$AG49)*IF(NOT(ISBLANK('Referenz Pflasterwerk'!$I$12)),'Referenz Pflasterwerk'!$I$12,'Referenz Pflasterwerk'!$F$12)</f>
        <v>0</v>
      </c>
      <c r="I192" s="17"/>
      <c r="J192" s="38">
        <f t="shared" ref="J192:J193" si="65">F192+G192</f>
        <v>0</v>
      </c>
      <c r="K192" s="38">
        <f t="shared" ref="K192:K193" si="66">SUM(F192:H192)</f>
        <v>0</v>
      </c>
      <c r="L192" s="17" t="s">
        <v>199</v>
      </c>
      <c r="M192" s="43"/>
      <c r="N192" s="43"/>
      <c r="O192" s="43"/>
      <c r="P192" s="43"/>
      <c r="Q192" s="43"/>
      <c r="R192" s="43"/>
      <c r="S192" s="43"/>
    </row>
    <row r="193" spans="2:20" ht="15.75" hidden="1" outlineLevel="1" x14ac:dyDescent="0.3">
      <c r="B193" s="17"/>
      <c r="C193" s="17"/>
      <c r="D193" s="17" t="s">
        <v>185</v>
      </c>
      <c r="E193" s="17"/>
      <c r="F193" s="38">
        <f>IF(NOT(ISBLANK('Referenz Pflasterwerk'!$I65)),'Referenz Pflasterwerk'!$I65,'Referenz Pflasterwerk'!$F65)*IF(NOT(ISBLANK('Eingabe EF'!$AA50)),'Eingabe EF'!$AA50,0)*IF(NOT(ISBLANK('Referenz Pflasterwerk'!$I$12)),'Referenz Pflasterwerk'!$I$12,'Referenz Pflasterwerk'!$F$12)</f>
        <v>0</v>
      </c>
      <c r="G193" s="38">
        <f>IF(NOT(ISBLANK('Referenz Pflasterwerk'!$I65)),'Referenz Pflasterwerk'!$I65,'Referenz Pflasterwerk'!$F65)*IF(NOT(ISBLANK('Eingabe EF'!$AE50)),'Eingabe EF'!$AE50,0)*IF(NOT(ISBLANK('Referenz Pflasterwerk'!$I$12)),'Referenz Pflasterwerk'!$I$12,'Referenz Pflasterwerk'!$F$12)</f>
        <v>0</v>
      </c>
      <c r="H193" s="38">
        <f>IF(NOT(ISBLANK('Referenz Pflasterwerk'!$I65)),'Referenz Pflasterwerk'!$I65,'Referenz Pflasterwerk'!$F65)*IF(NOT(ISBLANK('Eingabe EF'!$AI50)),'Eingabe EF'!$AI50,0)*IF(NOT(ISBLANK('Referenz Pflasterwerk'!$I$12)),'Referenz Pflasterwerk'!$I$12,'Referenz Pflasterwerk'!$F$12)</f>
        <v>0</v>
      </c>
      <c r="I193" s="17"/>
      <c r="J193" s="38">
        <f t="shared" si="65"/>
        <v>0</v>
      </c>
      <c r="K193" s="38">
        <f t="shared" si="66"/>
        <v>0</v>
      </c>
      <c r="L193" s="17" t="s">
        <v>199</v>
      </c>
      <c r="M193" s="43"/>
      <c r="N193" s="43"/>
      <c r="O193" s="43"/>
      <c r="P193" s="43"/>
      <c r="Q193" s="43"/>
      <c r="R193" s="43"/>
      <c r="S193" s="43"/>
    </row>
    <row r="194" spans="2:20" hidden="1" outlineLevel="1" x14ac:dyDescent="0.2">
      <c r="B194" s="17"/>
      <c r="C194" s="17"/>
      <c r="D194" s="17"/>
      <c r="E194" s="17"/>
      <c r="F194" s="20"/>
      <c r="G194" s="20"/>
      <c r="H194" s="20"/>
      <c r="I194" s="17"/>
      <c r="J194" s="17"/>
      <c r="K194" s="17"/>
      <c r="L194" s="20"/>
      <c r="M194" s="43"/>
      <c r="N194" s="43"/>
      <c r="O194" s="43"/>
      <c r="P194" s="43"/>
      <c r="Q194" s="43"/>
      <c r="R194" s="43"/>
      <c r="S194" s="43"/>
    </row>
    <row r="195" spans="2:20" ht="14.25" hidden="1" outlineLevel="1" x14ac:dyDescent="0.25">
      <c r="B195" s="69"/>
      <c r="C195" s="69" t="s">
        <v>186</v>
      </c>
      <c r="D195" s="70"/>
      <c r="E195" s="70"/>
      <c r="F195" s="71">
        <f>SUM(F196:F198)</f>
        <v>0</v>
      </c>
      <c r="G195" s="71">
        <f>SUM(G196:G198)</f>
        <v>0</v>
      </c>
      <c r="H195" s="71">
        <f>SUM(H196:H198)</f>
        <v>0</v>
      </c>
      <c r="I195" s="70"/>
      <c r="J195" s="71">
        <f>F195+G195</f>
        <v>0</v>
      </c>
      <c r="K195" s="71">
        <f t="shared" ref="K195" si="67">SUM(F195:H195)</f>
        <v>0</v>
      </c>
      <c r="L195" s="76" t="s">
        <v>198</v>
      </c>
      <c r="M195" s="43"/>
      <c r="N195" s="43"/>
      <c r="O195" s="43"/>
      <c r="P195" s="43"/>
      <c r="Q195" s="43"/>
      <c r="R195" s="43"/>
      <c r="S195" s="43"/>
    </row>
    <row r="196" spans="2:20" ht="15.75" hidden="1" outlineLevel="1" x14ac:dyDescent="0.3">
      <c r="B196" s="17"/>
      <c r="C196" s="17"/>
      <c r="D196" s="17" t="s">
        <v>67</v>
      </c>
      <c r="E196" s="17"/>
      <c r="F196" s="38">
        <f>IF(NOT(ISBLANK('Referenz Pflasterwerk'!$I68)),'Referenz Pflasterwerk'!$I68,'Referenz Pflasterwerk'!$F68)*IF(NOT(ISBLANK('Eingabe EF'!$AA53)),'Eingabe EF'!$AA53,'Eingabe EF'!$Y53)</f>
        <v>0</v>
      </c>
      <c r="G196" s="38">
        <f>IF(NOT(ISBLANK('Referenz Pflasterwerk'!$I68)),'Referenz Pflasterwerk'!$I68,'Referenz Pflasterwerk'!$F68)*IF(NOT(ISBLANK('Eingabe EF'!$AE53)),'Eingabe EF'!$AE53,'Eingabe EF'!$AC53)</f>
        <v>0</v>
      </c>
      <c r="H196" s="38">
        <f>IF(NOT(ISBLANK('Referenz Pflasterwerk'!$I68)),'Referenz Pflasterwerk'!$I68,'Referenz Pflasterwerk'!$F68)*IF(NOT(ISBLANK('Eingabe EF'!$AI53)),'Eingabe EF'!$AI53,'Eingabe EF'!$AG53)</f>
        <v>0</v>
      </c>
      <c r="I196" s="17"/>
      <c r="J196" s="38">
        <f>F196+G196</f>
        <v>0</v>
      </c>
      <c r="K196" s="38">
        <f>SUM(F196:H196)</f>
        <v>0</v>
      </c>
      <c r="L196" s="17" t="s">
        <v>199</v>
      </c>
      <c r="M196" s="43"/>
      <c r="N196" s="43"/>
      <c r="O196" s="43"/>
      <c r="P196" s="43"/>
      <c r="Q196" s="43"/>
      <c r="R196" s="43"/>
      <c r="S196" s="43"/>
    </row>
    <row r="197" spans="2:20" ht="15.75" hidden="1" outlineLevel="1" x14ac:dyDescent="0.3">
      <c r="B197" s="17"/>
      <c r="C197" s="17"/>
      <c r="D197" s="17" t="s">
        <v>188</v>
      </c>
      <c r="E197" s="17"/>
      <c r="F197" s="38">
        <f>IF(NOT(ISBLANK('Referenz Pflasterwerk'!$I69)),'Referenz Pflasterwerk'!$I69,'Referenz Pflasterwerk'!$F69)*IF(NOT(ISBLANK('Eingabe EF'!$AA54)),'Eingabe EF'!$AA54,0)</f>
        <v>0</v>
      </c>
      <c r="G197" s="38">
        <f>IF(NOT(ISBLANK('Referenz Pflasterwerk'!$I69)),'Referenz Pflasterwerk'!$I69,'Referenz Pflasterwerk'!$F69)*IF(NOT(ISBLANK('Eingabe EF'!$AE54)),'Eingabe EF'!$AE54,0)</f>
        <v>0</v>
      </c>
      <c r="H197" s="38">
        <f>IF(NOT(ISBLANK('Referenz Pflasterwerk'!$I69)),'Referenz Pflasterwerk'!$I69,'Referenz Pflasterwerk'!$F69)*IF(NOT(ISBLANK('Eingabe EF'!$AI54)),'Eingabe EF'!$AI54,0)</f>
        <v>0</v>
      </c>
      <c r="I197" s="17"/>
      <c r="J197" s="38">
        <f t="shared" ref="J197:J198" si="68">F197+G197</f>
        <v>0</v>
      </c>
      <c r="K197" s="38">
        <f t="shared" ref="K197:K198" si="69">SUM(F197:H197)</f>
        <v>0</v>
      </c>
      <c r="L197" s="17" t="s">
        <v>199</v>
      </c>
      <c r="M197" s="43"/>
      <c r="N197" s="43"/>
      <c r="O197" s="43"/>
      <c r="P197" s="43"/>
      <c r="Q197" s="43"/>
      <c r="R197" s="43"/>
      <c r="S197" s="43"/>
    </row>
    <row r="198" spans="2:20" ht="15.75" hidden="1" outlineLevel="1" x14ac:dyDescent="0.3">
      <c r="B198" s="17"/>
      <c r="C198" s="17"/>
      <c r="D198" s="17" t="s">
        <v>187</v>
      </c>
      <c r="E198" s="17"/>
      <c r="F198" s="38">
        <f>IF(NOT(ISBLANK('Referenz Pflasterwerk'!$I70)),'Referenz Pflasterwerk'!$I70,'Referenz Pflasterwerk'!$F70)*IF(NOT(ISBLANK('Eingabe EF'!$AA55)),'Eingabe EF'!$AA55,0)</f>
        <v>0</v>
      </c>
      <c r="G198" s="38">
        <f>IF(NOT(ISBLANK('Referenz Pflasterwerk'!$I70)),'Referenz Pflasterwerk'!$I70,'Referenz Pflasterwerk'!$F70)*IF(NOT(ISBLANK('Eingabe EF'!$AE55)),'Eingabe EF'!$AE55,0)</f>
        <v>0</v>
      </c>
      <c r="H198" s="38">
        <f>IF(NOT(ISBLANK('Referenz Pflasterwerk'!$I70)),'Referenz Pflasterwerk'!$I70,'Referenz Pflasterwerk'!$F70)*IF(NOT(ISBLANK('Eingabe EF'!$AI55)),'Eingabe EF'!$AI55,0)</f>
        <v>0</v>
      </c>
      <c r="I198" s="17"/>
      <c r="J198" s="38">
        <f t="shared" si="68"/>
        <v>0</v>
      </c>
      <c r="K198" s="38">
        <f t="shared" si="69"/>
        <v>0</v>
      </c>
      <c r="L198" s="17" t="s">
        <v>199</v>
      </c>
      <c r="M198" s="43"/>
      <c r="N198" s="43"/>
      <c r="O198" s="43"/>
      <c r="P198" s="43"/>
      <c r="Q198" s="43"/>
      <c r="R198" s="43"/>
      <c r="S198" s="43"/>
    </row>
    <row r="199" spans="2:20" hidden="1" outlineLevel="1" x14ac:dyDescent="0.2">
      <c r="B199" s="17"/>
      <c r="C199" s="17"/>
      <c r="D199" s="17"/>
      <c r="E199" s="17"/>
      <c r="F199" s="20"/>
      <c r="G199" s="20"/>
      <c r="H199" s="20"/>
      <c r="I199" s="17"/>
      <c r="J199" s="17"/>
      <c r="K199" s="17"/>
      <c r="L199" s="20"/>
      <c r="M199" s="43"/>
      <c r="N199" s="43"/>
      <c r="O199" s="43"/>
      <c r="P199" s="43"/>
      <c r="Q199" s="43"/>
      <c r="R199" s="43"/>
      <c r="S199" s="43"/>
    </row>
    <row r="200" spans="2:20" ht="14.25" hidden="1" outlineLevel="1" x14ac:dyDescent="0.25">
      <c r="B200" s="17"/>
      <c r="C200" s="17"/>
      <c r="D200" s="21" t="s">
        <v>64</v>
      </c>
      <c r="E200" s="21"/>
      <c r="F200" s="74">
        <f>IF(NOT(ISBLANK('Referenz Pflasterwerk'!$I72)),'Referenz Pflasterwerk'!$I72,'Referenz Pflasterwerk'!$F72)*IF(NOT(ISBLANK('Eingabe EF'!$AA57)),'Eingabe EF'!$AA57,'Eingabe EF'!$Y57)</f>
        <v>0</v>
      </c>
      <c r="G200" s="74">
        <f>IF(NOT(ISBLANK('Referenz Pflasterwerk'!$I72)),'Referenz Pflasterwerk'!$I72,'Referenz Pflasterwerk'!$F72)*IF(NOT(ISBLANK('Eingabe EF'!$AE57)),'Eingabe EF'!$AE57,'Eingabe EF'!$AC57)</f>
        <v>0</v>
      </c>
      <c r="H200" s="74">
        <f>IF(NOT(ISBLANK('Referenz Pflasterwerk'!$I72)),'Referenz Pflasterwerk'!$I72,'Referenz Pflasterwerk'!$F72)*IF(NOT(ISBLANK('Eingabe EF'!$AI57)),'Eingabe EF'!$AI57,'Eingabe EF'!$AG57)</f>
        <v>161.20000000000002</v>
      </c>
      <c r="I200" s="21"/>
      <c r="J200" s="74">
        <f t="shared" ref="J200" si="70">F200+G200</f>
        <v>0</v>
      </c>
      <c r="K200" s="74">
        <f t="shared" ref="K200" si="71">SUM(F200:H200)</f>
        <v>161.20000000000002</v>
      </c>
      <c r="L200" s="21" t="s">
        <v>198</v>
      </c>
      <c r="M200" s="43"/>
      <c r="N200" s="43"/>
      <c r="O200" s="43"/>
      <c r="P200" s="43"/>
      <c r="Q200" s="43"/>
      <c r="R200" s="43"/>
      <c r="S200" s="43"/>
    </row>
    <row r="201" spans="2:20" hidden="1" outlineLevel="1" x14ac:dyDescent="0.2">
      <c r="B201" s="17"/>
      <c r="C201" s="17"/>
      <c r="D201" s="17"/>
      <c r="E201" s="17"/>
      <c r="F201" s="20"/>
      <c r="G201" s="20"/>
      <c r="H201" s="20"/>
      <c r="I201" s="17"/>
      <c r="J201" s="17"/>
      <c r="K201" s="17"/>
      <c r="L201" s="20"/>
      <c r="M201" s="43"/>
      <c r="N201" s="43"/>
      <c r="O201" s="43"/>
      <c r="P201" s="43"/>
      <c r="Q201" s="43"/>
      <c r="R201" s="43"/>
      <c r="S201" s="43"/>
    </row>
    <row r="202" spans="2:20" ht="15" hidden="1" outlineLevel="1" thickBot="1" x14ac:dyDescent="0.3">
      <c r="B202" s="17"/>
      <c r="C202" s="17"/>
      <c r="D202" s="67" t="s">
        <v>70</v>
      </c>
      <c r="E202" s="67"/>
      <c r="F202" s="68">
        <f>SUM(F145:F200)-F159-F163-F169-F176-F181-F190-F195</f>
        <v>105.94629215999998</v>
      </c>
      <c r="G202" s="68">
        <f>SUM(G145:G200)-G159-G163-G169-G176-G181-G190-G195</f>
        <v>195.66483377231765</v>
      </c>
      <c r="H202" s="68">
        <f>SUM(H145:H200)-H159-H163-H169-H176-H181-H190-H195</f>
        <v>10507.198419823993</v>
      </c>
      <c r="I202" s="21"/>
      <c r="J202" s="68">
        <f t="shared" ref="J202" si="72">SUM(J145:J200)-J159-J163-J169-J176-J181-J190-J195</f>
        <v>301.61112593231763</v>
      </c>
      <c r="K202" s="68">
        <f>SUM(K145:K200)-K159-K163-K169-K176-K181-K190-K195</f>
        <v>10808.809545756312</v>
      </c>
      <c r="L202" s="68" t="s">
        <v>198</v>
      </c>
      <c r="M202" s="43"/>
      <c r="N202" s="43"/>
      <c r="O202" s="43"/>
      <c r="P202" s="43"/>
      <c r="Q202" s="43"/>
      <c r="R202" s="43"/>
      <c r="S202" s="43"/>
    </row>
    <row r="203" spans="2:20" ht="13.5" hidden="1" outlineLevel="1" thickTop="1" x14ac:dyDescent="0.2">
      <c r="B203" s="17"/>
      <c r="C203" s="17"/>
      <c r="D203" s="17"/>
      <c r="E203" s="17"/>
      <c r="F203" s="20"/>
      <c r="G203" s="20"/>
      <c r="H203" s="20"/>
      <c r="I203" s="17"/>
      <c r="J203" s="17"/>
      <c r="K203" s="17"/>
      <c r="L203" s="20"/>
      <c r="M203" s="43"/>
      <c r="N203" s="43"/>
      <c r="O203" s="43"/>
      <c r="P203" s="43"/>
      <c r="Q203" s="43"/>
      <c r="R203" s="43"/>
      <c r="S203" s="43"/>
    </row>
    <row r="204" spans="2:20" collapsed="1" x14ac:dyDescent="0.2"/>
    <row r="206" spans="2:20" ht="15.75" hidden="1" outlineLevel="1" x14ac:dyDescent="0.25">
      <c r="B206" s="22"/>
      <c r="C206" s="22" t="s">
        <v>117</v>
      </c>
      <c r="D206" s="17"/>
      <c r="E206" s="17"/>
      <c r="F206" s="17"/>
      <c r="G206" s="17"/>
      <c r="H206" s="17"/>
      <c r="I206" s="17"/>
      <c r="J206" s="17"/>
      <c r="K206" s="17"/>
      <c r="L206" s="17"/>
      <c r="N206" s="22" t="s">
        <v>120</v>
      </c>
      <c r="O206" s="17"/>
      <c r="P206" s="17"/>
      <c r="Q206" s="17"/>
      <c r="R206" s="17"/>
      <c r="S206" s="17"/>
      <c r="T206" s="17"/>
    </row>
    <row r="207" spans="2:20" ht="15" hidden="1" outlineLevel="1" x14ac:dyDescent="0.25">
      <c r="B207" s="64"/>
      <c r="C207" s="64">
        <v>2030</v>
      </c>
      <c r="D207" s="25"/>
      <c r="E207" s="25"/>
      <c r="F207" s="25"/>
      <c r="G207" s="25"/>
      <c r="H207" s="25"/>
      <c r="I207" s="25"/>
      <c r="J207" s="25"/>
      <c r="K207" s="25"/>
      <c r="L207" s="25"/>
      <c r="N207" s="64">
        <v>2030</v>
      </c>
      <c r="O207" s="17"/>
      <c r="P207" s="17"/>
      <c r="Q207" s="17"/>
      <c r="R207" s="17"/>
      <c r="S207" s="17"/>
      <c r="T207" s="17"/>
    </row>
    <row r="208" spans="2:20" hidden="1" outlineLevel="1" x14ac:dyDescent="0.2">
      <c r="B208" s="17"/>
      <c r="C208" s="17"/>
      <c r="D208" s="17" t="s">
        <v>207</v>
      </c>
      <c r="E208" s="39">
        <f>(1-(IF(NOT(ISBLANK($K16)),$K16/100,$I16/100)))</f>
        <v>0.7</v>
      </c>
      <c r="F208" s="17"/>
      <c r="G208" s="17"/>
      <c r="H208" s="17"/>
      <c r="I208" s="17"/>
      <c r="J208" s="17"/>
      <c r="K208" s="17"/>
      <c r="L208" s="17"/>
      <c r="N208" s="17"/>
      <c r="O208" s="17"/>
      <c r="P208" s="17"/>
      <c r="Q208" s="17"/>
      <c r="R208" s="17"/>
      <c r="S208" s="17"/>
      <c r="T208" s="17"/>
    </row>
    <row r="209" spans="2:20" hidden="1" outlineLevel="1" x14ac:dyDescent="0.2">
      <c r="B209" s="17"/>
      <c r="C209" s="17"/>
      <c r="D209" s="17"/>
      <c r="E209" s="17"/>
      <c r="F209" s="17"/>
      <c r="G209" s="17"/>
      <c r="H209" s="17"/>
      <c r="I209" s="17"/>
      <c r="J209" s="17"/>
      <c r="K209" s="17"/>
      <c r="L209" s="17"/>
      <c r="N209" s="17"/>
      <c r="O209" s="17"/>
      <c r="P209" s="17"/>
      <c r="Q209" s="17"/>
      <c r="R209" s="17"/>
      <c r="S209" s="17"/>
      <c r="T209" s="17"/>
    </row>
    <row r="210" spans="2:20" ht="25.5" hidden="1" outlineLevel="1" x14ac:dyDescent="0.2">
      <c r="B210" s="17"/>
      <c r="C210" s="17"/>
      <c r="D210" s="17"/>
      <c r="E210" s="17"/>
      <c r="F210" s="36" t="s">
        <v>27</v>
      </c>
      <c r="G210" s="36" t="s">
        <v>85</v>
      </c>
      <c r="H210" s="36" t="s">
        <v>29</v>
      </c>
      <c r="I210" s="17"/>
      <c r="J210" s="40" t="s">
        <v>114</v>
      </c>
      <c r="K210" s="41" t="s">
        <v>40</v>
      </c>
      <c r="L210" s="17"/>
      <c r="N210" s="17"/>
      <c r="O210" s="17"/>
      <c r="P210" s="17"/>
      <c r="Q210" s="18"/>
      <c r="R210" s="17"/>
      <c r="S210" s="18"/>
      <c r="T210" s="18"/>
    </row>
    <row r="211" spans="2:20" ht="14.25" hidden="1" outlineLevel="1" x14ac:dyDescent="0.25">
      <c r="B211" s="76"/>
      <c r="C211" s="76" t="s">
        <v>191</v>
      </c>
      <c r="D211" s="76"/>
      <c r="E211" s="76"/>
      <c r="F211" s="77">
        <f>SUM(F213:F226)</f>
        <v>105.94629215999998</v>
      </c>
      <c r="G211" s="77">
        <f>SUM(G213:G226)</f>
        <v>96.432335925573213</v>
      </c>
      <c r="H211" s="77">
        <f>SUM(H213:H226)</f>
        <v>32.74125947788508</v>
      </c>
      <c r="I211" s="76"/>
      <c r="J211" s="77">
        <f>F211+G211</f>
        <v>202.37862808557321</v>
      </c>
      <c r="K211" s="77">
        <f>SUM(F211:H211)</f>
        <v>235.11988756345829</v>
      </c>
      <c r="L211" s="76" t="s">
        <v>198</v>
      </c>
      <c r="N211" s="17"/>
      <c r="O211" s="17"/>
      <c r="P211" s="17"/>
      <c r="Q211" s="18"/>
      <c r="R211" s="17"/>
      <c r="S211" s="18"/>
      <c r="T211" s="18"/>
    </row>
    <row r="212" spans="2:20" hidden="1" outlineLevel="1" x14ac:dyDescent="0.2">
      <c r="B212" s="17"/>
      <c r="C212" s="17" t="s">
        <v>148</v>
      </c>
      <c r="D212" s="17"/>
      <c r="E212" s="17"/>
      <c r="F212" s="17"/>
      <c r="G212" s="17"/>
      <c r="H212" s="17"/>
      <c r="I212" s="17"/>
      <c r="J212" s="17"/>
      <c r="K212" s="17"/>
      <c r="L212" s="17"/>
      <c r="N212" s="17" t="s">
        <v>148</v>
      </c>
      <c r="O212" s="17"/>
      <c r="P212" s="17"/>
      <c r="Q212" s="18"/>
      <c r="R212" s="17"/>
      <c r="S212" s="18"/>
      <c r="T212" s="18"/>
    </row>
    <row r="213" spans="2:20" ht="15.75" hidden="1" outlineLevel="1" x14ac:dyDescent="0.3">
      <c r="B213" s="17"/>
      <c r="C213" s="17"/>
      <c r="D213" s="17" t="s">
        <v>128</v>
      </c>
      <c r="E213" s="17"/>
      <c r="F213" s="37">
        <f>IF(NOT(ISBLANK('Referenz Pflasterwerk'!$I16)),'Referenz Pflasterwerk'!$I16,'Referenz Pflasterwerk'!$F16)*IF(NOT(ISBLANK('Eingabe EF'!$AS9)),'Eingabe EF'!$AS9,'Eingabe EF'!$AQ9)*$E$208</f>
        <v>1.1539079999999999</v>
      </c>
      <c r="G213" s="38">
        <f>IF(NOT(ISBLANK('Referenz Pflasterwerk'!$I16)),'Referenz Pflasterwerk'!$I16,'Referenz Pflasterwerk'!$F16)*IF(NOT(ISBLANK('Eingabe EF'!$AW9)),'Eingabe EF'!$AW9,'Eingabe EF'!$AU9)*$E$208</f>
        <v>0</v>
      </c>
      <c r="H213" s="38">
        <f>IF(NOT(ISBLANK('Referenz Pflasterwerk'!$I16)),'Referenz Pflasterwerk'!$I16,'Referenz Pflasterwerk'!$F16)*IF(NOT(ISBLANK('Eingabe EF'!$BA9)),'Eingabe EF'!$BA9,'Eingabe EF'!$AY9)*$E$208</f>
        <v>0.19750499999999999</v>
      </c>
      <c r="I213" s="17"/>
      <c r="J213" s="38">
        <f>F213+G213</f>
        <v>1.1539079999999999</v>
      </c>
      <c r="K213" s="38">
        <f>SUM(F213:H213)</f>
        <v>1.351413</v>
      </c>
      <c r="L213" s="17" t="s">
        <v>199</v>
      </c>
      <c r="N213" s="17"/>
      <c r="O213" s="17" t="s">
        <v>128</v>
      </c>
      <c r="P213" s="17"/>
      <c r="Q213" s="19"/>
      <c r="R213" s="17"/>
      <c r="S213" s="42">
        <f>IF(NOT(ISBLANK('Referenz Pflasterwerk'!$I16)),'Referenz Pflasterwerk'!$I16,'Referenz Pflasterwerk'!$F16)/1000*$E$208*IF(NOT(ISBLANK('Eingabe Preise'!$O10)),'Eingabe Preise'!$O10,'Eingabe Preise'!$M10)</f>
        <v>384.3</v>
      </c>
      <c r="T213" s="20" t="s">
        <v>109</v>
      </c>
    </row>
    <row r="214" spans="2:20" ht="15.75" hidden="1" outlineLevel="1" x14ac:dyDescent="0.3">
      <c r="B214" s="17"/>
      <c r="C214" s="17"/>
      <c r="D214" s="17" t="s">
        <v>166</v>
      </c>
      <c r="E214" s="17"/>
      <c r="F214" s="38">
        <f>IF(NOT(ISBLANK('Referenz Pflasterwerk'!$I17)),'Referenz Pflasterwerk'!$I17,'Referenz Pflasterwerk'!$F17)*IF(NOT(ISBLANK('Eingabe EF'!$AS10)),'Eingabe EF'!$AS10,'Eingabe EF'!$AQ10)*$E$208</f>
        <v>0.37346399999999996</v>
      </c>
      <c r="G214" s="38">
        <f>IF(NOT(ISBLANK('Referenz Pflasterwerk'!$I17)),'Referenz Pflasterwerk'!$I17,'Referenz Pflasterwerk'!$F17)*IF(NOT(ISBLANK('Eingabe EF'!$AW10)),'Eingabe EF'!$AW10,'Eingabe EF'!$AU10)*$E$208</f>
        <v>0</v>
      </c>
      <c r="H214" s="38">
        <f>IF(NOT(ISBLANK('Referenz Pflasterwerk'!$I17)),'Referenz Pflasterwerk'!$I17,'Referenz Pflasterwerk'!$F17)*IF(NOT(ISBLANK('Eingabe EF'!$BA10)),'Eingabe EF'!$BA10,'Eingabe EF'!$AY10)*$E$208</f>
        <v>5.5406399999999995E-2</v>
      </c>
      <c r="I214" s="17"/>
      <c r="J214" s="38">
        <f>F214+G214</f>
        <v>0.37346399999999996</v>
      </c>
      <c r="K214" s="38">
        <f>SUM(F214:H214)</f>
        <v>0.42887039999999998</v>
      </c>
      <c r="L214" s="17" t="s">
        <v>199</v>
      </c>
      <c r="N214" s="17"/>
      <c r="O214" s="17" t="s">
        <v>166</v>
      </c>
      <c r="P214" s="17"/>
      <c r="Q214" s="20"/>
      <c r="R214" s="17"/>
      <c r="S214" s="42">
        <f>IF(NOT(ISBLANK('Referenz Pflasterwerk'!$I17)),'Referenz Pflasterwerk'!$I17,'Referenz Pflasterwerk'!$F17)/1000*$E$208*IF(NOT(ISBLANK('Eingabe Preise'!$O11)),'Eingabe Preise'!$O11,'Eingabe Preise'!$M11)</f>
        <v>64.399999999999991</v>
      </c>
      <c r="T214" s="20" t="s">
        <v>109</v>
      </c>
    </row>
    <row r="215" spans="2:20" ht="15.75" hidden="1" outlineLevel="1" x14ac:dyDescent="0.3">
      <c r="B215" s="17"/>
      <c r="C215" s="17"/>
      <c r="D215" s="17" t="s">
        <v>154</v>
      </c>
      <c r="E215" s="17"/>
      <c r="F215" s="38">
        <f>IF(NOT(ISBLANK('Referenz Pflasterwerk'!$I18)),'Referenz Pflasterwerk'!$I18,'Referenz Pflasterwerk'!$F18)*IF(NOT(ISBLANK('Eingabe EF'!$AS11)),'Eingabe EF'!$AS11,'Eingabe EF'!$AQ11)*$E$208</f>
        <v>0</v>
      </c>
      <c r="G215" s="38">
        <f>IF(NOT(ISBLANK('Referenz Pflasterwerk'!$I18)),'Referenz Pflasterwerk'!$I18,'Referenz Pflasterwerk'!$F18)*IF(NOT(ISBLANK('Eingabe EF'!$AW11)),'Eingabe EF'!$AW11,'Eingabe EF'!$AU11)*$E$208</f>
        <v>14.362262797425796</v>
      </c>
      <c r="H215" s="38">
        <f>IF(NOT(ISBLANK('Referenz Pflasterwerk'!$I18)),'Referenz Pflasterwerk'!$I18,'Referenz Pflasterwerk'!$F18)*IF(NOT(ISBLANK('Eingabe EF'!$BA11)),'Eingabe EF'!$BA11,'Eingabe EF'!$AY11)*$E$208</f>
        <v>2.1054626090467132</v>
      </c>
      <c r="I215" s="17"/>
      <c r="J215" s="38">
        <f>F215+G215</f>
        <v>14.362262797425796</v>
      </c>
      <c r="K215" s="38">
        <f>SUM(F215:H215)</f>
        <v>16.46772540647251</v>
      </c>
      <c r="L215" s="17" t="s">
        <v>199</v>
      </c>
      <c r="N215" s="17"/>
      <c r="O215" s="17" t="s">
        <v>154</v>
      </c>
      <c r="P215" s="17"/>
      <c r="Q215" s="20"/>
      <c r="R215" s="17"/>
      <c r="S215" s="42">
        <f>IF(NOT(ISBLANK('Referenz Pflasterwerk'!$I18)),'Referenz Pflasterwerk'!$I18,'Referenz Pflasterwerk'!$F18)/1000*$E$208*IF(NOT(ISBLANK('Eingabe Preise'!$O12)),'Eingabe Preise'!$O12,'Eingabe Preise'!$M12)</f>
        <v>18060</v>
      </c>
      <c r="T215" s="20" t="s">
        <v>109</v>
      </c>
    </row>
    <row r="216" spans="2:20" ht="15.75" hidden="1" outlineLevel="1" x14ac:dyDescent="0.3">
      <c r="B216" s="17"/>
      <c r="C216" s="17"/>
      <c r="D216" s="17" t="s">
        <v>129</v>
      </c>
      <c r="E216" s="17"/>
      <c r="F216" s="44">
        <f>IF(NOT(ISBLANK('Referenz Pflasterwerk'!$I19)),'Referenz Pflasterwerk'!$I19,'Referenz Pflasterwerk'!$F19)*IF(NOT(ISBLANK('Eingabe EF'!$AS12)),'Eingabe EF'!$AS12,0)*$E$208</f>
        <v>0</v>
      </c>
      <c r="G216" s="44">
        <f>IF(NOT(ISBLANK('Referenz Pflasterwerk'!$I19)),'Referenz Pflasterwerk'!$I19,'Referenz Pflasterwerk'!$F19)*IF(NOT(ISBLANK('Eingabe EF'!$AW12)),'Eingabe EF'!$AW12,0)*$E$208</f>
        <v>0</v>
      </c>
      <c r="H216" s="44">
        <f>IF(NOT(ISBLANK('Referenz Pflasterwerk'!$I19)),'Referenz Pflasterwerk'!$I19,'Referenz Pflasterwerk'!$F19)*IF(NOT(ISBLANK('Eingabe EF'!$BA12)),'Eingabe EF'!$BA12,0)*$E$208</f>
        <v>0</v>
      </c>
      <c r="I216" s="17"/>
      <c r="J216" s="38">
        <f>F216+G216</f>
        <v>0</v>
      </c>
      <c r="K216" s="38">
        <f>SUM(F216:H216)</f>
        <v>0</v>
      </c>
      <c r="L216" s="17" t="s">
        <v>199</v>
      </c>
      <c r="N216" s="17"/>
      <c r="O216" s="17" t="s">
        <v>129</v>
      </c>
      <c r="P216" s="17"/>
      <c r="Q216" s="20"/>
      <c r="R216" s="17"/>
      <c r="S216" s="42">
        <f>IF(NOT(ISBLANK('Referenz Pflasterwerk'!$I19)),'Referenz Pflasterwerk'!$I19,'Referenz Pflasterwerk'!$F19)/1000*$E$208*IF(NOT(ISBLANK('Eingabe Preise'!$O16)),'Eingabe Preise'!$O16,0)</f>
        <v>0</v>
      </c>
      <c r="T216" s="20" t="s">
        <v>109</v>
      </c>
    </row>
    <row r="217" spans="2:20" hidden="1" outlineLevel="1" x14ac:dyDescent="0.2">
      <c r="B217" s="17"/>
      <c r="C217" s="17" t="s">
        <v>149</v>
      </c>
      <c r="D217" s="17"/>
      <c r="E217" s="17"/>
      <c r="F217" s="17"/>
      <c r="G217" s="17"/>
      <c r="H217" s="17"/>
      <c r="I217" s="17"/>
      <c r="J217" s="17"/>
      <c r="K217" s="17"/>
      <c r="L217" s="17"/>
      <c r="N217" s="17" t="s">
        <v>149</v>
      </c>
      <c r="O217" s="17"/>
      <c r="P217" s="17"/>
      <c r="Q217" s="20"/>
      <c r="R217" s="17"/>
      <c r="S217" s="20"/>
      <c r="T217" s="20"/>
    </row>
    <row r="218" spans="2:20" ht="15.75" hidden="1" outlineLevel="1" x14ac:dyDescent="0.3">
      <c r="B218" s="17"/>
      <c r="C218" s="17"/>
      <c r="D218" s="17" t="s">
        <v>32</v>
      </c>
      <c r="E218" s="17"/>
      <c r="F218" s="44">
        <f>IF(NOT(ISBLANK('Referenz Pflasterwerk'!$I21)),'Referenz Pflasterwerk'!$I21,'Referenz Pflasterwerk'!$F21)*IF(NOT(ISBLANK('Eingabe EF'!$AS9)),'Eingabe EF'!$AS9,'Eingabe EF'!$AQ9)</f>
        <v>6.5937599999999996</v>
      </c>
      <c r="G218" s="44">
        <f>IF(NOT(ISBLANK('Referenz Pflasterwerk'!$I21)),'Referenz Pflasterwerk'!$I21,'Referenz Pflasterwerk'!$F21)*IF(NOT(ISBLANK('Eingabe EF'!$AW9)),'Eingabe EF'!$AW9,'Eingabe EF'!$AU9)</f>
        <v>0</v>
      </c>
      <c r="H218" s="44">
        <f>IF(NOT(ISBLANK('Referenz Pflasterwerk'!$I21)),'Referenz Pflasterwerk'!$I21,'Referenz Pflasterwerk'!$F21)*IF(NOT(ISBLANK('Eingabe EF'!$BA9)),'Eingabe EF'!$BA9,'Eingabe EF'!$AY9)</f>
        <v>1.1286</v>
      </c>
      <c r="I218" s="17"/>
      <c r="J218" s="38">
        <f t="shared" ref="J218:J219" si="73">F218+G218</f>
        <v>6.5937599999999996</v>
      </c>
      <c r="K218" s="38">
        <f t="shared" ref="K218:K219" si="74">SUM(F218:H218)</f>
        <v>7.7223600000000001</v>
      </c>
      <c r="L218" s="17" t="s">
        <v>199</v>
      </c>
      <c r="N218" s="17"/>
      <c r="O218" s="17" t="s">
        <v>32</v>
      </c>
      <c r="P218" s="17"/>
      <c r="Q218" s="20"/>
      <c r="R218" s="17"/>
      <c r="S218" s="42">
        <f>IF(NOT(ISBLANK('Referenz Pflasterwerk'!$I21)),'Referenz Pflasterwerk'!$I21,'Referenz Pflasterwerk'!$F21)/1000*IF(NOT(ISBLANK('Eingabe Preise'!$O10)),'Eingabe Preise'!$O10,'Eingabe Preise'!$M10)</f>
        <v>2196</v>
      </c>
      <c r="T218" s="20" t="s">
        <v>109</v>
      </c>
    </row>
    <row r="219" spans="2:20" ht="15.75" hidden="1" outlineLevel="1" x14ac:dyDescent="0.3">
      <c r="B219" s="17"/>
      <c r="C219" s="17"/>
      <c r="D219" s="17" t="s">
        <v>33</v>
      </c>
      <c r="E219" s="17"/>
      <c r="F219" s="44">
        <f>IF(NOT(ISBLANK('Referenz Pflasterwerk'!$I22)),'Referenz Pflasterwerk'!$I22,'Referenz Pflasterwerk'!$F22)*IF(NOT(ISBLANK('Eingabe EF'!$AS10)),'Eingabe EF'!$AS10,'Eingabe EF'!$AQ10)</f>
        <v>2.13408</v>
      </c>
      <c r="G219" s="44">
        <f>IF(NOT(ISBLANK('Referenz Pflasterwerk'!$I22)),'Referenz Pflasterwerk'!$I22,'Referenz Pflasterwerk'!$F22)*IF(NOT(ISBLANK('Eingabe EF'!$AW10)),'Eingabe EF'!$AW10,'Eingabe EF'!$AU10)</f>
        <v>0</v>
      </c>
      <c r="H219" s="44">
        <f>IF(NOT(ISBLANK('Referenz Pflasterwerk'!$I22)),'Referenz Pflasterwerk'!$I22,'Referenz Pflasterwerk'!$F22)*IF(NOT(ISBLANK('Eingabe EF'!$BA10)),'Eingabe EF'!$BA10,'Eingabe EF'!$AY10)</f>
        <v>0.316608</v>
      </c>
      <c r="I219" s="17"/>
      <c r="J219" s="38">
        <f t="shared" si="73"/>
        <v>2.13408</v>
      </c>
      <c r="K219" s="38">
        <f t="shared" si="74"/>
        <v>2.450688</v>
      </c>
      <c r="L219" s="17" t="s">
        <v>199</v>
      </c>
      <c r="N219" s="17"/>
      <c r="O219" s="17" t="s">
        <v>33</v>
      </c>
      <c r="P219" s="17"/>
      <c r="Q219" s="20"/>
      <c r="R219" s="17"/>
      <c r="S219" s="42">
        <f>IF(NOT(ISBLANK('Referenz Pflasterwerk'!$I22)),'Referenz Pflasterwerk'!$I22,'Referenz Pflasterwerk'!$F22)/1000*IF(NOT(ISBLANK('Eingabe Preise'!$O11)),'Eingabe Preise'!$O11,'Eingabe Preise'!$M11)</f>
        <v>368</v>
      </c>
      <c r="T219" s="20" t="s">
        <v>109</v>
      </c>
    </row>
    <row r="220" spans="2:20" hidden="1" outlineLevel="1" x14ac:dyDescent="0.2">
      <c r="B220" s="17"/>
      <c r="C220" s="17" t="s">
        <v>150</v>
      </c>
      <c r="D220" s="17"/>
      <c r="E220" s="17"/>
      <c r="F220" s="17"/>
      <c r="G220" s="17"/>
      <c r="H220" s="17"/>
      <c r="I220" s="17"/>
      <c r="J220" s="17"/>
      <c r="K220" s="17"/>
      <c r="L220" s="17"/>
      <c r="N220" s="17" t="s">
        <v>150</v>
      </c>
      <c r="O220" s="17"/>
      <c r="P220" s="17"/>
      <c r="Q220" s="20"/>
      <c r="R220" s="17"/>
      <c r="S220" s="20"/>
      <c r="T220" s="20"/>
    </row>
    <row r="221" spans="2:20" ht="15.75" hidden="1" outlineLevel="1" x14ac:dyDescent="0.3">
      <c r="B221" s="17"/>
      <c r="C221" s="17"/>
      <c r="D221" s="17" t="s">
        <v>152</v>
      </c>
      <c r="E221" s="17"/>
      <c r="F221" s="44">
        <f>IF(NOT(ISBLANK('Referenz Pflasterwerk'!$I24)),'Referenz Pflasterwerk'!$I24,'Referenz Pflasterwerk'!$F24)*IF(NOT(ISBLANK('Eingabe EF'!$AS11)),'Eingabe EF'!$AS11,'Eingabe EF'!$AQ11)</f>
        <v>0</v>
      </c>
      <c r="G221" s="44">
        <f>IF(NOT(ISBLANK('Referenz Pflasterwerk'!$I24)),'Referenz Pflasterwerk'!$I24,'Referenz Pflasterwerk'!$F24)*IF(NOT(ISBLANK('Eingabe EF'!$AW11)),'Eingabe EF'!$AW11,'Eingabe EF'!$AU11)</f>
        <v>82.070073128147413</v>
      </c>
      <c r="H221" s="44">
        <f>IF(NOT(ISBLANK('Referenz Pflasterwerk'!$I24)),'Referenz Pflasterwerk'!$I24,'Referenz Pflasterwerk'!$F24)*IF(NOT(ISBLANK('Eingabe EF'!$BA11)),'Eingabe EF'!$BA11,'Eingabe EF'!$AY11)</f>
        <v>12.031214908838363</v>
      </c>
      <c r="I221" s="17"/>
      <c r="J221" s="38">
        <f t="shared" ref="J221:J229" si="75">F221+G221</f>
        <v>82.070073128147413</v>
      </c>
      <c r="K221" s="38">
        <f t="shared" ref="K221:K229" si="76">SUM(F221:H221)</f>
        <v>94.101288036985778</v>
      </c>
      <c r="L221" s="17" t="s">
        <v>199</v>
      </c>
      <c r="N221" s="17"/>
      <c r="O221" s="17" t="s">
        <v>152</v>
      </c>
      <c r="P221" s="17"/>
      <c r="Q221" s="20"/>
      <c r="R221" s="17"/>
      <c r="S221" s="42">
        <f>IF(NOT(ISBLANK('Referenz Pflasterwerk'!$I24)),'Referenz Pflasterwerk'!$I24,'Referenz Pflasterwerk'!$F24)/1000*IF(NOT(ISBLANK('Eingabe Preise'!$O12)),'Eingabe Preise'!$O12,'Eingabe Preise'!$M12)</f>
        <v>103200</v>
      </c>
      <c r="T221" s="20" t="s">
        <v>109</v>
      </c>
    </row>
    <row r="222" spans="2:20" ht="15.75" hidden="1" outlineLevel="1" x14ac:dyDescent="0.3">
      <c r="B222" s="17"/>
      <c r="C222" s="17"/>
      <c r="D222" s="17" t="s">
        <v>125</v>
      </c>
      <c r="E222" s="17"/>
      <c r="F222" s="44">
        <f>IF(NOT(ISBLANK('Referenz Pflasterwerk'!$I25)),'Referenz Pflasterwerk'!$I25,'Referenz Pflasterwerk'!$F25)*IF(NOT(ISBLANK('Eingabe EF'!$AS13)),'Eingabe EF'!$AS13,'Eingabe EF'!$AQ13)</f>
        <v>0</v>
      </c>
      <c r="G222" s="44">
        <f>IF(NOT(ISBLANK('Referenz Pflasterwerk'!$I25)),'Referenz Pflasterwerk'!$I25,'Referenz Pflasterwerk'!$F25)*IF(NOT(ISBLANK('Eingabe EF'!$AW13)),'Eingabe EF'!$AW13,'Eingabe EF'!$AU13)</f>
        <v>0</v>
      </c>
      <c r="H222" s="44">
        <f>IF(NOT(ISBLANK('Referenz Pflasterwerk'!$I25)),'Referenz Pflasterwerk'!$I25,'Referenz Pflasterwerk'!$F25)*IF(NOT(ISBLANK('Eingabe EF'!$BA13)),'Eingabe EF'!$BA13,'Eingabe EF'!$AY13)</f>
        <v>0</v>
      </c>
      <c r="I222" s="17"/>
      <c r="J222" s="38">
        <f t="shared" si="75"/>
        <v>0</v>
      </c>
      <c r="K222" s="38">
        <f t="shared" si="76"/>
        <v>0</v>
      </c>
      <c r="L222" s="17" t="s">
        <v>199</v>
      </c>
      <c r="N222" s="17"/>
      <c r="O222" s="17" t="s">
        <v>125</v>
      </c>
      <c r="P222" s="17"/>
      <c r="Q222" s="20"/>
      <c r="R222" s="17"/>
      <c r="S222" s="42">
        <f>IF(NOT(ISBLANK('Referenz Pflasterwerk'!$I25)),'Referenz Pflasterwerk'!$I25,'Referenz Pflasterwerk'!$F25)/1000*IF(NOT(ISBLANK('Eingabe Preise'!$O13)),'Eingabe Preise'!$O13,'Eingabe Preise'!$M13)</f>
        <v>0</v>
      </c>
      <c r="T222" s="20" t="s">
        <v>109</v>
      </c>
    </row>
    <row r="223" spans="2:20" ht="15.75" hidden="1" outlineLevel="1" x14ac:dyDescent="0.3">
      <c r="B223" s="17"/>
      <c r="C223" s="17"/>
      <c r="D223" s="17" t="s">
        <v>151</v>
      </c>
      <c r="E223" s="17"/>
      <c r="F223" s="44">
        <f>IF(NOT(ISBLANK('Referenz Pflasterwerk'!$I26)),'Referenz Pflasterwerk'!$I26,'Referenz Pflasterwerk'!$F26)*IF(NOT(ISBLANK('Eingabe EF'!$AS14)),'Eingabe EF'!$AS14,0)</f>
        <v>0</v>
      </c>
      <c r="G223" s="44">
        <f>IF(NOT(ISBLANK('Referenz Pflasterwerk'!$I26)),'Referenz Pflasterwerk'!$I26,'Referenz Pflasterwerk'!$F26)*IF(NOT(ISBLANK('Eingabe EF'!$AW14)),'Eingabe EF'!$AW14,0)</f>
        <v>0</v>
      </c>
      <c r="H223" s="44">
        <f>IF(NOT(ISBLANK('Referenz Pflasterwerk'!$I26)),'Referenz Pflasterwerk'!$I26,'Referenz Pflasterwerk'!$F26)*IF(NOT(ISBLANK('Eingabe EF'!$BA14)),'Eingabe EF'!$BA14,0)</f>
        <v>0</v>
      </c>
      <c r="I223" s="17"/>
      <c r="J223" s="38">
        <f t="shared" si="75"/>
        <v>0</v>
      </c>
      <c r="K223" s="38">
        <f t="shared" si="76"/>
        <v>0</v>
      </c>
      <c r="L223" s="17" t="s">
        <v>199</v>
      </c>
      <c r="N223" s="17"/>
      <c r="O223" s="17" t="s">
        <v>151</v>
      </c>
      <c r="P223" s="17"/>
      <c r="Q223" s="30"/>
      <c r="R223" s="17"/>
      <c r="S223" s="42">
        <f>IF(NOT(ISBLANK('Referenz Pflasterwerk'!$I26)),'Referenz Pflasterwerk'!$I26,'Referenz Pflasterwerk'!$F26)/1000*IF(NOT(ISBLANK('Eingabe Preise'!$O17)),'Eingabe Preise'!$O17,0)</f>
        <v>0</v>
      </c>
      <c r="T223" s="20" t="s">
        <v>109</v>
      </c>
    </row>
    <row r="224" spans="2:20" hidden="1" outlineLevel="1" x14ac:dyDescent="0.2">
      <c r="B224" s="17"/>
      <c r="C224" s="17"/>
      <c r="D224" s="17"/>
      <c r="E224" s="17"/>
      <c r="F224" s="17"/>
      <c r="G224" s="17"/>
      <c r="H224" s="17"/>
      <c r="I224" s="17"/>
      <c r="J224" s="17"/>
      <c r="K224" s="17"/>
      <c r="L224" s="17"/>
      <c r="N224" s="17"/>
      <c r="O224" s="17"/>
      <c r="P224" s="17"/>
      <c r="Q224" s="30"/>
      <c r="R224" s="17"/>
      <c r="S224" s="17"/>
      <c r="T224" s="17"/>
    </row>
    <row r="225" spans="2:20" ht="15.75" hidden="1" outlineLevel="1" x14ac:dyDescent="0.3">
      <c r="B225" s="17"/>
      <c r="C225" s="17" t="s">
        <v>78</v>
      </c>
      <c r="D225" s="17" t="s">
        <v>35</v>
      </c>
      <c r="E225" s="17"/>
      <c r="F225" s="44">
        <f>IF(NOT(ISBLANK('Referenz Pflasterwerk'!$I28)),'Referenz Pflasterwerk'!$I28,'Referenz Pflasterwerk'!$F28)*IF(NOT(ISBLANK('Eingabe EF'!$AS15)),'Eingabe EF'!$AS15,'Eingabe EF'!$AQ15)</f>
        <v>85.058737919999984</v>
      </c>
      <c r="G225" s="44">
        <f>IF(NOT(ISBLANK('Referenz Pflasterwerk'!$I28)),'Referenz Pflasterwerk'!$I28,'Referenz Pflasterwerk'!$F28)*IF(NOT(ISBLANK('Eingabe EF'!$AW15)),'Eingabe EF'!$AW15,'Eingabe EF'!$AU15)</f>
        <v>0</v>
      </c>
      <c r="H225" s="44">
        <f>IF(NOT(ISBLANK('Referenz Pflasterwerk'!$I28)),'Referenz Pflasterwerk'!$I28,'Referenz Pflasterwerk'!$F28)*IF(NOT(ISBLANK('Eingabe EF'!$BA15)),'Eingabe EF'!$BA15,'Eingabe EF'!$AY15)</f>
        <v>15.027966720000002</v>
      </c>
      <c r="I225" s="17"/>
      <c r="J225" s="38">
        <f t="shared" ref="J225:J227" si="77">F225+G225</f>
        <v>85.058737919999984</v>
      </c>
      <c r="K225" s="38">
        <f t="shared" ref="K225:K227" si="78">SUM(F225:H225)</f>
        <v>100.08670463999999</v>
      </c>
      <c r="L225" s="17" t="s">
        <v>199</v>
      </c>
      <c r="N225" s="17"/>
      <c r="O225" s="17" t="s">
        <v>35</v>
      </c>
      <c r="P225" s="17" t="s">
        <v>78</v>
      </c>
      <c r="Q225" s="30"/>
      <c r="R225" s="17"/>
      <c r="S225" s="42">
        <f>IF(NOT(ISBLANK('Referenz Pflasterwerk'!$I28)),'Referenz Pflasterwerk'!$I28,'Referenz Pflasterwerk'!$F28)*IF(NOT(ISBLANK('Eingabe Preise'!$O14)),'Eingabe Preise'!$O14,'Eingabe Preise'!$M14)</f>
        <v>35968</v>
      </c>
      <c r="T225" s="20" t="s">
        <v>109</v>
      </c>
    </row>
    <row r="226" spans="2:20" ht="15.75" hidden="1" outlineLevel="1" x14ac:dyDescent="0.3">
      <c r="B226" s="17"/>
      <c r="C226" s="17" t="s">
        <v>77</v>
      </c>
      <c r="D226" s="17" t="s">
        <v>35</v>
      </c>
      <c r="E226" s="17"/>
      <c r="F226" s="44">
        <f>IF(NOT(ISBLANK('Referenz Pflasterwerk'!$I29)),'Referenz Pflasterwerk'!$I29,'Referenz Pflasterwerk'!$F29)*IF(NOT(ISBLANK('Eingabe EF'!$AS15)),'Eingabe EF'!$AS15,'Eingabe EF'!$AQ15)</f>
        <v>10.632342239999998</v>
      </c>
      <c r="G226" s="44">
        <f>IF(NOT(ISBLANK('Referenz Pflasterwerk'!$I29)),'Referenz Pflasterwerk'!$I29,'Referenz Pflasterwerk'!$F29)*IF(NOT(ISBLANK('Eingabe EF'!$AW15)),'Eingabe EF'!$AW15,'Eingabe EF'!$AU15)</f>
        <v>0</v>
      </c>
      <c r="H226" s="44">
        <f>IF(NOT(ISBLANK('Referenz Pflasterwerk'!$I29)),'Referenz Pflasterwerk'!$I29,'Referenz Pflasterwerk'!$F29)*IF(NOT(ISBLANK('Eingabe EF'!$BA15)),'Eingabe EF'!$BA15,'Eingabe EF'!$AY15)</f>
        <v>1.8784958400000002</v>
      </c>
      <c r="I226" s="17"/>
      <c r="J226" s="38">
        <f t="shared" si="77"/>
        <v>10.632342239999998</v>
      </c>
      <c r="K226" s="38">
        <f t="shared" si="78"/>
        <v>12.510838079999999</v>
      </c>
      <c r="L226" s="17" t="s">
        <v>199</v>
      </c>
      <c r="N226" s="17"/>
      <c r="O226" s="17" t="s">
        <v>35</v>
      </c>
      <c r="P226" s="17" t="s">
        <v>77</v>
      </c>
      <c r="Q226" s="30"/>
      <c r="R226" s="17"/>
      <c r="S226" s="42">
        <f>IF(NOT(ISBLANK('Referenz Pflasterwerk'!$I29)),'Referenz Pflasterwerk'!$I29,'Referenz Pflasterwerk'!$F29)*IF(NOT(ISBLANK('Eingabe Preise'!$O14)),'Eingabe Preise'!$O14,'Eingabe Preise'!$M14)</f>
        <v>4496</v>
      </c>
      <c r="T226" s="20" t="s">
        <v>109</v>
      </c>
    </row>
    <row r="227" spans="2:20" ht="14.25" hidden="1" outlineLevel="1" x14ac:dyDescent="0.25">
      <c r="B227" s="69"/>
      <c r="C227" s="69" t="s">
        <v>190</v>
      </c>
      <c r="D227" s="69"/>
      <c r="E227" s="69"/>
      <c r="F227" s="71">
        <f>F228+F229</f>
        <v>0</v>
      </c>
      <c r="G227" s="71">
        <f t="shared" ref="G227" si="79">G228+G229</f>
        <v>0</v>
      </c>
      <c r="H227" s="71">
        <f t="shared" ref="H227" si="80">H228+H229</f>
        <v>578.62626120000004</v>
      </c>
      <c r="I227" s="69"/>
      <c r="J227" s="71">
        <f t="shared" si="77"/>
        <v>0</v>
      </c>
      <c r="K227" s="71">
        <f t="shared" si="78"/>
        <v>578.62626120000004</v>
      </c>
      <c r="L227" s="76" t="s">
        <v>198</v>
      </c>
      <c r="N227" s="17"/>
      <c r="O227" s="17"/>
      <c r="P227" s="17"/>
      <c r="Q227" s="30"/>
      <c r="R227" s="17"/>
      <c r="S227" s="17"/>
      <c r="T227" s="17"/>
    </row>
    <row r="228" spans="2:20" ht="15.75" hidden="1" outlineLevel="1" x14ac:dyDescent="0.3">
      <c r="B228" s="17"/>
      <c r="C228" s="17"/>
      <c r="D228" s="17" t="s">
        <v>46</v>
      </c>
      <c r="E228" s="17"/>
      <c r="F228" s="44">
        <f>IF(NOT(ISBLANK('Referenz Pflasterwerk'!$I32)),'Referenz Pflasterwerk'!$I32,'Referenz Pflasterwerk'!$F32)*IF(NOT(ISBLANK('Eingabe EF'!$AS17)),'Eingabe EF'!$AS17,'Eingabe EF'!$AQ17)</f>
        <v>0</v>
      </c>
      <c r="G228" s="44">
        <f>IF(NOT(ISBLANK('Referenz Pflasterwerk'!$I32)),'Referenz Pflasterwerk'!$I32,'Referenz Pflasterwerk'!$F32)*IF(NOT(ISBLANK('Eingabe EF'!$AW17)),'Eingabe EF'!$AW17,'Eingabe EF'!$AU17)</f>
        <v>0</v>
      </c>
      <c r="H228" s="44">
        <f>IF(NOT(ISBLANK('Referenz Pflasterwerk'!$I32)),'Referenz Pflasterwerk'!$I32,'Referenz Pflasterwerk'!$F32)*IF(NOT(ISBLANK('Eingabe EF'!$BA17)),'Eingabe EF'!$BA17,'Eingabe EF'!$AY17)</f>
        <v>250.21676159999998</v>
      </c>
      <c r="I228" s="17"/>
      <c r="J228" s="38">
        <f t="shared" si="75"/>
        <v>0</v>
      </c>
      <c r="K228" s="38">
        <f t="shared" si="76"/>
        <v>250.21676159999998</v>
      </c>
      <c r="L228" s="17" t="s">
        <v>199</v>
      </c>
      <c r="N228" s="17"/>
      <c r="O228" s="17"/>
      <c r="P228" s="17"/>
      <c r="Q228" s="30"/>
      <c r="R228" s="17"/>
      <c r="S228" s="17"/>
      <c r="T228" s="17"/>
    </row>
    <row r="229" spans="2:20" ht="15.75" hidden="1" outlineLevel="1" x14ac:dyDescent="0.3">
      <c r="B229" s="17"/>
      <c r="C229" s="17"/>
      <c r="D229" s="17" t="s">
        <v>47</v>
      </c>
      <c r="E229" s="17"/>
      <c r="F229" s="44">
        <f>IF(NOT(ISBLANK('Referenz Pflasterwerk'!$I33)),'Referenz Pflasterwerk'!$I33,'Referenz Pflasterwerk'!$F33)*IF(NOT(ISBLANK('Eingabe EF'!$AS18)),'Eingabe EF'!$AS18,'Eingabe EF'!$AQ18)</f>
        <v>0</v>
      </c>
      <c r="G229" s="44">
        <f>IF(NOT(ISBLANK('Referenz Pflasterwerk'!$I33)),'Referenz Pflasterwerk'!$I33,'Referenz Pflasterwerk'!$F33)*IF(NOT(ISBLANK('Eingabe EF'!$AW18)),'Eingabe EF'!$AW18,'Eingabe EF'!$AU18)</f>
        <v>0</v>
      </c>
      <c r="H229" s="44">
        <f>IF(NOT(ISBLANK('Referenz Pflasterwerk'!$I33)),'Referenz Pflasterwerk'!$I33,'Referenz Pflasterwerk'!$F33)*IF(NOT(ISBLANK('Eingabe EF'!$BA18)),'Eingabe EF'!$BA18,'Eingabe EF'!$AY18)</f>
        <v>328.4094996</v>
      </c>
      <c r="I229" s="17"/>
      <c r="J229" s="38">
        <f t="shared" si="75"/>
        <v>0</v>
      </c>
      <c r="K229" s="38">
        <f t="shared" si="76"/>
        <v>328.4094996</v>
      </c>
      <c r="L229" s="17" t="s">
        <v>199</v>
      </c>
      <c r="N229" s="17"/>
      <c r="O229" s="17" t="s">
        <v>31</v>
      </c>
      <c r="P229" s="17"/>
      <c r="Q229" s="30"/>
      <c r="R229" s="17"/>
      <c r="S229" s="42">
        <f>S241+S242</f>
        <v>72000</v>
      </c>
      <c r="T229" s="20" t="s">
        <v>109</v>
      </c>
    </row>
    <row r="230" spans="2:20" hidden="1" outlineLevel="1" x14ac:dyDescent="0.2">
      <c r="B230" s="17"/>
      <c r="C230" s="17"/>
      <c r="D230" s="17"/>
      <c r="E230" s="17"/>
      <c r="F230" s="20"/>
      <c r="G230" s="20"/>
      <c r="H230" s="20"/>
      <c r="I230" s="17"/>
      <c r="J230" s="20"/>
      <c r="K230" s="20"/>
      <c r="L230" s="17"/>
      <c r="N230" s="17"/>
      <c r="O230" s="45" t="s">
        <v>155</v>
      </c>
      <c r="P230" s="17"/>
      <c r="Q230" s="30"/>
      <c r="R230" s="17"/>
      <c r="S230" s="42">
        <f>IF(NOT(ISBLANK($K$19)),$K$19,$I$19)</f>
        <v>0</v>
      </c>
      <c r="T230" s="20" t="s">
        <v>109</v>
      </c>
    </row>
    <row r="231" spans="2:20" ht="14.25" hidden="1" outlineLevel="1" x14ac:dyDescent="0.25">
      <c r="B231" s="69"/>
      <c r="C231" s="69" t="s">
        <v>69</v>
      </c>
      <c r="D231" s="70"/>
      <c r="E231" s="70"/>
      <c r="F231" s="71">
        <f>SUM(F232:F235)</f>
        <v>0</v>
      </c>
      <c r="G231" s="71">
        <f t="shared" ref="G231" si="81">SUM(G232:G235)</f>
        <v>0</v>
      </c>
      <c r="H231" s="71">
        <f>SUM(H232:H235)</f>
        <v>7683.24</v>
      </c>
      <c r="I231" s="70"/>
      <c r="J231" s="71">
        <f t="shared" ref="J231" si="82">F231+G231</f>
        <v>0</v>
      </c>
      <c r="K231" s="71">
        <f t="shared" ref="K231" si="83">SUM(F231:H231)</f>
        <v>7683.24</v>
      </c>
      <c r="L231" s="76" t="s">
        <v>198</v>
      </c>
      <c r="N231" s="17"/>
      <c r="O231" s="45" t="s">
        <v>162</v>
      </c>
      <c r="P231" s="17"/>
      <c r="Q231" s="30"/>
      <c r="R231" s="17"/>
      <c r="S231" s="42">
        <f>S244+S245</f>
        <v>0</v>
      </c>
      <c r="T231" s="20" t="s">
        <v>109</v>
      </c>
    </row>
    <row r="232" spans="2:20" ht="15.75" hidden="1" outlineLevel="1" x14ac:dyDescent="0.3">
      <c r="B232" s="17"/>
      <c r="C232" s="17"/>
      <c r="D232" s="17" t="s">
        <v>48</v>
      </c>
      <c r="E232" s="17"/>
      <c r="F232" s="38">
        <f>IF(NOT(ISBLANK('Referenz Pflasterwerk'!$I36)),'Referenz Pflasterwerk'!$I36,'Referenz Pflasterwerk'!$F36)*IF(NOT(ISBLANK('Eingabe EF'!$AS21)),'Eingabe EF'!$AS21,'Eingabe EF'!$AQ21)*IF(NOT(ISBLANK('Referenz Pflasterwerk'!$I$12)),'Referenz Pflasterwerk'!$I$12,'Referenz Pflasterwerk'!$F$12)</f>
        <v>0</v>
      </c>
      <c r="G232" s="38">
        <f>IF(NOT(ISBLANK('Referenz Pflasterwerk'!$I36)),'Referenz Pflasterwerk'!$I36,'Referenz Pflasterwerk'!$F36)*IF(NOT(ISBLANK('Eingabe EF'!$AW21)),'Eingabe EF'!$AW21,'Eingabe EF'!$AU21)*IF(NOT(ISBLANK('Referenz Pflasterwerk'!$I$12)),'Referenz Pflasterwerk'!$I$12,'Referenz Pflasterwerk'!$F$12)</f>
        <v>0</v>
      </c>
      <c r="H232" s="38">
        <f>IF(NOT(ISBLANK('Referenz Pflasterwerk'!$I36)),'Referenz Pflasterwerk'!$I36,'Referenz Pflasterwerk'!$F36)*IF(NOT(ISBLANK('Eingabe EF'!$BA21)),'Eingabe EF'!$BA21,'Eingabe EF'!$AY21)*IF(NOT(ISBLANK('Referenz Pflasterwerk'!$I$12)),'Referenz Pflasterwerk'!$I$12,'Referenz Pflasterwerk'!$F$12)</f>
        <v>2144.625</v>
      </c>
      <c r="I232" s="17"/>
      <c r="J232" s="38">
        <f t="shared" ref="J232:J234" si="84">F232+G232</f>
        <v>0</v>
      </c>
      <c r="K232" s="38">
        <f t="shared" ref="K232:K234" si="85">SUM(F232:H232)</f>
        <v>2144.625</v>
      </c>
      <c r="L232" s="17" t="s">
        <v>199</v>
      </c>
      <c r="N232" s="17"/>
      <c r="O232" s="17"/>
      <c r="P232" s="17"/>
      <c r="Q232" s="17"/>
      <c r="R232" s="17"/>
      <c r="S232" s="17"/>
      <c r="T232" s="17"/>
    </row>
    <row r="233" spans="2:20" ht="15.75" hidden="1" outlineLevel="1" x14ac:dyDescent="0.3">
      <c r="B233" s="17"/>
      <c r="C233" s="17"/>
      <c r="D233" s="17" t="s">
        <v>50</v>
      </c>
      <c r="E233" s="17"/>
      <c r="F233" s="38">
        <f>IF(NOT(ISBLANK('Referenz Pflasterwerk'!$I37)),'Referenz Pflasterwerk'!$I37,'Referenz Pflasterwerk'!$F37)*IF(NOT(ISBLANK('Eingabe EF'!$AS22)),'Eingabe EF'!$AS22,'Eingabe EF'!$AQ22)*IF(NOT(ISBLANK('Referenz Pflasterwerk'!$I$12)),'Referenz Pflasterwerk'!$I$12,'Referenz Pflasterwerk'!$F$12)</f>
        <v>0</v>
      </c>
      <c r="G233" s="38">
        <f>IF(NOT(ISBLANK('Referenz Pflasterwerk'!$I37)),'Referenz Pflasterwerk'!$I37,'Referenz Pflasterwerk'!$F37)*IF(NOT(ISBLANK('Eingabe EF'!$AW22)),'Eingabe EF'!$AW22,'Eingabe EF'!$AU22)*IF(NOT(ISBLANK('Referenz Pflasterwerk'!$I$12)),'Referenz Pflasterwerk'!$I$12,'Referenz Pflasterwerk'!$F$12)</f>
        <v>0</v>
      </c>
      <c r="H233" s="38">
        <f>IF(NOT(ISBLANK('Referenz Pflasterwerk'!$I37)),'Referenz Pflasterwerk'!$I37,'Referenz Pflasterwerk'!$F37)*IF(NOT(ISBLANK('Eingabe EF'!$BA22)),'Eingabe EF'!$BA22,'Eingabe EF'!$AY22)*IF(NOT(ISBLANK('Referenz Pflasterwerk'!$I$12)),'Referenz Pflasterwerk'!$I$12,'Referenz Pflasterwerk'!$F$12)</f>
        <v>4993.59</v>
      </c>
      <c r="I233" s="17"/>
      <c r="J233" s="38">
        <f t="shared" si="84"/>
        <v>0</v>
      </c>
      <c r="K233" s="38">
        <f t="shared" si="85"/>
        <v>4993.59</v>
      </c>
      <c r="L233" s="17" t="s">
        <v>199</v>
      </c>
      <c r="N233" s="17"/>
      <c r="O233" s="17"/>
      <c r="P233" s="17"/>
      <c r="Q233" s="17"/>
      <c r="R233" s="17"/>
      <c r="S233" s="17"/>
      <c r="T233" s="17"/>
    </row>
    <row r="234" spans="2:20" ht="15.75" hidden="1" outlineLevel="1" x14ac:dyDescent="0.3">
      <c r="B234" s="17"/>
      <c r="C234" s="17"/>
      <c r="D234" s="17" t="s">
        <v>51</v>
      </c>
      <c r="E234" s="17"/>
      <c r="F234" s="38">
        <f>IF(NOT(ISBLANK('Referenz Pflasterwerk'!$I38)),'Referenz Pflasterwerk'!$I38,'Referenz Pflasterwerk'!$F38)*IF(NOT(ISBLANK('Eingabe EF'!$AS23)),'Eingabe EF'!$AS23,'Eingabe EF'!$AQ23)*IF(NOT(ISBLANK('Referenz Pflasterwerk'!$I$12)),'Referenz Pflasterwerk'!$I$12,'Referenz Pflasterwerk'!$F$12)</f>
        <v>0</v>
      </c>
      <c r="G234" s="38">
        <f>IF(NOT(ISBLANK('Referenz Pflasterwerk'!$I38)),'Referenz Pflasterwerk'!$I38,'Referenz Pflasterwerk'!$F38)*IF(NOT(ISBLANK('Eingabe EF'!$AW23)),'Eingabe EF'!$AW23,'Eingabe EF'!$AU23)*IF(NOT(ISBLANK('Referenz Pflasterwerk'!$I$12)),'Referenz Pflasterwerk'!$I$12,'Referenz Pflasterwerk'!$F$12)</f>
        <v>0</v>
      </c>
      <c r="H234" s="38">
        <f>IF(NOT(ISBLANK('Referenz Pflasterwerk'!$I38)),'Referenz Pflasterwerk'!$I38,'Referenz Pflasterwerk'!$F38)*IF(NOT(ISBLANK('Eingabe EF'!$BA23)),'Eingabe EF'!$BA23,'Eingabe EF'!$AY23)*IF(NOT(ISBLANK('Referenz Pflasterwerk'!$I$12)),'Referenz Pflasterwerk'!$I$12,'Referenz Pflasterwerk'!$F$12)</f>
        <v>545.02499999999998</v>
      </c>
      <c r="I234" s="17"/>
      <c r="J234" s="38">
        <f t="shared" si="84"/>
        <v>0</v>
      </c>
      <c r="K234" s="38">
        <f t="shared" si="85"/>
        <v>545.02499999999998</v>
      </c>
      <c r="L234" s="17" t="s">
        <v>199</v>
      </c>
      <c r="N234" s="17"/>
      <c r="O234" s="17" t="s">
        <v>201</v>
      </c>
      <c r="P234" s="17"/>
      <c r="Q234" s="30"/>
      <c r="R234" s="17"/>
      <c r="S234" s="42">
        <f>F270*IF(NOT(ISBLANK('Eingabe Preise'!$O21)),'Eingabe Preise'!$O21,'Eingabe Preise'!$M21)</f>
        <v>8475.7033727999988</v>
      </c>
      <c r="T234" s="20" t="s">
        <v>109</v>
      </c>
    </row>
    <row r="235" spans="2:20" ht="15.75" hidden="1" outlineLevel="1" x14ac:dyDescent="0.3">
      <c r="B235" s="17"/>
      <c r="C235" s="17"/>
      <c r="D235" s="17" t="s">
        <v>163</v>
      </c>
      <c r="E235" s="17"/>
      <c r="F235" s="38">
        <f>IF(NOT(ISBLANK('Referenz Pflasterwerk'!$I39)),'Referenz Pflasterwerk'!$I39,'Referenz Pflasterwerk'!$F39)*IF(NOT(ISBLANK('Eingabe EF'!$AS24)),'Eingabe EF'!$AS24,0)*IF(NOT(ISBLANK('Referenz Pflasterwerk'!$I$12)),'Referenz Pflasterwerk'!$I$12,'Referenz Pflasterwerk'!$F$12)</f>
        <v>0</v>
      </c>
      <c r="G235" s="38">
        <f>IF(NOT(ISBLANK('Referenz Pflasterwerk'!$I39)),'Referenz Pflasterwerk'!$I39,'Referenz Pflasterwerk'!$F39)*IF(NOT(ISBLANK('Eingabe EF'!$AW24)),'Eingabe EF'!$AW24,0)*IF(NOT(ISBLANK('Referenz Pflasterwerk'!$I$12)),'Referenz Pflasterwerk'!$I$12,'Referenz Pflasterwerk'!$F$12)</f>
        <v>0</v>
      </c>
      <c r="H235" s="38">
        <f>IF(NOT(ISBLANK('Referenz Pflasterwerk'!$I39)),'Referenz Pflasterwerk'!$I39,'Referenz Pflasterwerk'!$F39)*IF(NOT(ISBLANK('Eingabe EF'!$BA24)),'Eingabe EF'!$BA24,0)*IF(NOT(ISBLANK('Referenz Pflasterwerk'!$I$12)),'Referenz Pflasterwerk'!$I$12,'Referenz Pflasterwerk'!$F$12)</f>
        <v>0</v>
      </c>
      <c r="I235" s="17"/>
      <c r="J235" s="38">
        <f t="shared" ref="J235" si="86">F235+G235</f>
        <v>0</v>
      </c>
      <c r="K235" s="38">
        <f t="shared" ref="K235" si="87">SUM(F235:H235)</f>
        <v>0</v>
      </c>
      <c r="L235" s="17" t="s">
        <v>199</v>
      </c>
      <c r="N235" s="17"/>
      <c r="O235" s="17" t="s">
        <v>202</v>
      </c>
      <c r="P235" s="17"/>
      <c r="Q235" s="30"/>
      <c r="R235" s="17"/>
      <c r="S235" s="42">
        <f>G270*IF(NOT(ISBLANK('Eingabe Preise'!$O22)),'Eingabe Preise'!$O22,'Eingabe Preise'!$M22)</f>
        <v>7714.5868740458573</v>
      </c>
      <c r="T235" s="20" t="s">
        <v>109</v>
      </c>
    </row>
    <row r="236" spans="2:20" ht="15.75" hidden="1" outlineLevel="1" x14ac:dyDescent="0.3">
      <c r="B236" s="17"/>
      <c r="C236" s="17"/>
      <c r="D236" s="17"/>
      <c r="E236" s="17"/>
      <c r="F236" s="17"/>
      <c r="G236" s="17"/>
      <c r="H236" s="17"/>
      <c r="I236" s="17"/>
      <c r="J236" s="20"/>
      <c r="K236" s="20"/>
      <c r="L236" s="17"/>
      <c r="N236" s="17"/>
      <c r="O236" s="17" t="s">
        <v>203</v>
      </c>
      <c r="P236" s="17"/>
      <c r="Q236" s="30"/>
      <c r="R236" s="17"/>
      <c r="S236" s="42">
        <f>H270*IF(NOT(ISBLANK('Eingabe Preise'!$O23)),'Eingabe Preise'!$O23,'Eingabe Preise'!$M23)</f>
        <v>839412.09978918266</v>
      </c>
      <c r="T236" s="20" t="s">
        <v>109</v>
      </c>
    </row>
    <row r="237" spans="2:20" ht="14.25" hidden="1" outlineLevel="1" x14ac:dyDescent="0.25">
      <c r="B237" s="69"/>
      <c r="C237" s="69" t="s">
        <v>178</v>
      </c>
      <c r="D237" s="70"/>
      <c r="E237" s="70"/>
      <c r="F237" s="71">
        <f>SUM(F238:F240)</f>
        <v>0</v>
      </c>
      <c r="G237" s="71">
        <f t="shared" ref="G237" si="88">SUM(G238:G240)</f>
        <v>0</v>
      </c>
      <c r="H237" s="71">
        <f t="shared" ref="H237" si="89">SUM(H238:H240)</f>
        <v>387.03000000000003</v>
      </c>
      <c r="I237" s="70"/>
      <c r="J237" s="71">
        <f t="shared" ref="J237" si="90">F237+G237</f>
        <v>0</v>
      </c>
      <c r="K237" s="71">
        <f t="shared" ref="K237" si="91">SUM(F237:H237)</f>
        <v>387.03000000000003</v>
      </c>
      <c r="L237" s="76" t="s">
        <v>198</v>
      </c>
      <c r="N237" s="17"/>
      <c r="O237" s="17"/>
      <c r="P237" s="17"/>
      <c r="Q237" s="17"/>
      <c r="R237" s="17"/>
      <c r="S237" s="17"/>
      <c r="T237" s="17"/>
    </row>
    <row r="238" spans="2:20" ht="15.75" hidden="1" outlineLevel="1" x14ac:dyDescent="0.3">
      <c r="B238" s="17"/>
      <c r="C238" s="17"/>
      <c r="D238" s="17" t="s">
        <v>179</v>
      </c>
      <c r="E238" s="17"/>
      <c r="F238" s="38">
        <f>IF(NOT(ISBLANK('Referenz Pflasterwerk'!$I42)),'Referenz Pflasterwerk'!$I42,'Referenz Pflasterwerk'!$F42)*IF(NOT(ISBLANK('Eingabe EF'!$AS27)),'Eingabe EF'!$AS27,'Eingabe EF'!$AQ27)*IF(NOT(ISBLANK('Referenz Pflasterwerk'!$I$12)),'Referenz Pflasterwerk'!$I$12,'Referenz Pflasterwerk'!$F$12)</f>
        <v>0</v>
      </c>
      <c r="G238" s="38">
        <f>IF(NOT(ISBLANK('Referenz Pflasterwerk'!$I42)),'Referenz Pflasterwerk'!$I42,'Referenz Pflasterwerk'!$F42)*IF(NOT(ISBLANK('Eingabe EF'!$AW27)),'Eingabe EF'!$AW27,'Eingabe EF'!$AU27)*IF(NOT(ISBLANK('Referenz Pflasterwerk'!$I$12)),'Referenz Pflasterwerk'!$I$12,'Referenz Pflasterwerk'!$F$12)</f>
        <v>0</v>
      </c>
      <c r="H238" s="38">
        <f>IF(NOT(ISBLANK('Referenz Pflasterwerk'!$I42)),'Referenz Pflasterwerk'!$I42,'Referenz Pflasterwerk'!$F42)*IF(NOT(ISBLANK('Eingabe EF'!$BA27)),'Eingabe EF'!$BA27,'Eingabe EF'!$AY27)*IF(NOT(ISBLANK('Referenz Pflasterwerk'!$I$12)),'Referenz Pflasterwerk'!$I$12,'Referenz Pflasterwerk'!$F$12)</f>
        <v>387.03000000000003</v>
      </c>
      <c r="I238" s="17"/>
      <c r="J238" s="38">
        <f>F238+G238</f>
        <v>0</v>
      </c>
      <c r="K238" s="38">
        <f>SUM(F238:H238)</f>
        <v>387.03000000000003</v>
      </c>
      <c r="L238" s="17" t="s">
        <v>199</v>
      </c>
      <c r="N238" s="17"/>
      <c r="O238" s="17"/>
      <c r="P238" s="17"/>
      <c r="Q238" s="17"/>
      <c r="R238" s="17"/>
      <c r="S238" s="17"/>
      <c r="T238" s="17"/>
    </row>
    <row r="239" spans="2:20" ht="15.75" hidden="1" outlineLevel="1" x14ac:dyDescent="0.3">
      <c r="B239" s="17"/>
      <c r="C239" s="17"/>
      <c r="D239" s="17" t="s">
        <v>180</v>
      </c>
      <c r="E239" s="17"/>
      <c r="F239" s="38">
        <f>IF(NOT(ISBLANK('Referenz Pflasterwerk'!$I43)),'Referenz Pflasterwerk'!$I43,'Referenz Pflasterwerk'!$F43)*IF(NOT(ISBLANK('Eingabe EF'!$AS28)),'Eingabe EF'!$AS28,0)*IF(NOT(ISBLANK('Referenz Pflasterwerk'!$I$12)),'Referenz Pflasterwerk'!$I$12,'Referenz Pflasterwerk'!$F$12)</f>
        <v>0</v>
      </c>
      <c r="G239" s="38">
        <f>IF(NOT(ISBLANK('Referenz Pflasterwerk'!$I43)),'Referenz Pflasterwerk'!$I43,'Referenz Pflasterwerk'!$F43)*IF(NOT(ISBLANK('Eingabe EF'!$AW28)),'Eingabe EF'!$AW28,0)*IF(NOT(ISBLANK('Referenz Pflasterwerk'!$I$12)),'Referenz Pflasterwerk'!$I$12,'Referenz Pflasterwerk'!$F$12)</f>
        <v>0</v>
      </c>
      <c r="H239" s="38">
        <f>IF(NOT(ISBLANK('Referenz Pflasterwerk'!$I43)),'Referenz Pflasterwerk'!$I43,'Referenz Pflasterwerk'!$F43)*IF(NOT(ISBLANK('Eingabe EF'!$BA28)),'Eingabe EF'!$BA28,0)*IF(NOT(ISBLANK('Referenz Pflasterwerk'!$I$12)),'Referenz Pflasterwerk'!$I$12,'Referenz Pflasterwerk'!$F$12)</f>
        <v>0</v>
      </c>
      <c r="I239" s="17"/>
      <c r="J239" s="38">
        <f>F239+G239</f>
        <v>0</v>
      </c>
      <c r="K239" s="38">
        <f t="shared" ref="K239:K240" si="92">SUM(F239:H239)</f>
        <v>0</v>
      </c>
      <c r="L239" s="17" t="s">
        <v>199</v>
      </c>
      <c r="N239" s="17"/>
      <c r="O239" s="17"/>
      <c r="P239" s="17"/>
      <c r="Q239" s="18"/>
      <c r="R239" s="17"/>
      <c r="S239" s="18"/>
      <c r="T239" s="18"/>
    </row>
    <row r="240" spans="2:20" ht="15.75" hidden="1" outlineLevel="1" x14ac:dyDescent="0.3">
      <c r="B240" s="17"/>
      <c r="C240" s="17"/>
      <c r="D240" s="17" t="s">
        <v>181</v>
      </c>
      <c r="E240" s="17"/>
      <c r="F240" s="38">
        <f>IF(NOT(ISBLANK('Referenz Pflasterwerk'!$I44)),'Referenz Pflasterwerk'!$I44,'Referenz Pflasterwerk'!$F44)*IF(NOT(ISBLANK('Eingabe EF'!$AS29)),'Eingabe EF'!$AS29,0)*IF(NOT(ISBLANK('Referenz Pflasterwerk'!$I$12)),'Referenz Pflasterwerk'!$I$12,'Referenz Pflasterwerk'!$F$12)</f>
        <v>0</v>
      </c>
      <c r="G240" s="38">
        <f>IF(NOT(ISBLANK('Referenz Pflasterwerk'!$I44)),'Referenz Pflasterwerk'!$I44,'Referenz Pflasterwerk'!$F44)*IF(NOT(ISBLANK('Eingabe EF'!$AW29)),'Eingabe EF'!$AW29,0)*IF(NOT(ISBLANK('Referenz Pflasterwerk'!$I$12)),'Referenz Pflasterwerk'!$I$12,'Referenz Pflasterwerk'!$F$12)</f>
        <v>0</v>
      </c>
      <c r="H240" s="38">
        <f>IF(NOT(ISBLANK('Referenz Pflasterwerk'!$I44)),'Referenz Pflasterwerk'!$I44,'Referenz Pflasterwerk'!$F44)*IF(NOT(ISBLANK('Eingabe EF'!$BA29)),'Eingabe EF'!$BA29,0)*IF(NOT(ISBLANK('Referenz Pflasterwerk'!$I$12)),'Referenz Pflasterwerk'!$I$12,'Referenz Pflasterwerk'!$F$12)</f>
        <v>0</v>
      </c>
      <c r="I240" s="17"/>
      <c r="J240" s="38">
        <f t="shared" ref="J240" si="93">F240+G240</f>
        <v>0</v>
      </c>
      <c r="K240" s="38">
        <f t="shared" si="92"/>
        <v>0</v>
      </c>
      <c r="L240" s="17" t="s">
        <v>199</v>
      </c>
      <c r="N240" s="21" t="s">
        <v>224</v>
      </c>
      <c r="O240" s="17"/>
      <c r="P240" s="17"/>
      <c r="Q240" s="17"/>
      <c r="R240" s="17"/>
      <c r="S240" s="17"/>
      <c r="T240" s="17"/>
    </row>
    <row r="241" spans="2:20" hidden="1" outlineLevel="1" x14ac:dyDescent="0.2">
      <c r="B241" s="17"/>
      <c r="C241" s="17"/>
      <c r="D241" s="17"/>
      <c r="E241" s="17"/>
      <c r="F241" s="17"/>
      <c r="G241" s="17"/>
      <c r="H241" s="17"/>
      <c r="I241" s="17"/>
      <c r="J241" s="20"/>
      <c r="K241" s="20"/>
      <c r="L241" s="17"/>
      <c r="N241" s="17"/>
      <c r="O241" s="17" t="s">
        <v>225</v>
      </c>
      <c r="P241" s="17"/>
      <c r="Q241" s="18"/>
      <c r="R241" s="17"/>
      <c r="S241" s="42">
        <f>IF(IF(NOT(ISBLANK($G$23)),$G$23,$E$23)&gt;5,S161,0)</f>
        <v>72000</v>
      </c>
      <c r="T241" s="20" t="s">
        <v>109</v>
      </c>
    </row>
    <row r="242" spans="2:20" ht="14.25" hidden="1" outlineLevel="1" x14ac:dyDescent="0.25">
      <c r="B242" s="17"/>
      <c r="C242" s="17"/>
      <c r="D242" s="21" t="s">
        <v>58</v>
      </c>
      <c r="E242" s="21"/>
      <c r="F242" s="74">
        <f>IF(NOT(ISBLANK('Referenz Pflasterwerk'!$I46)),'Referenz Pflasterwerk'!$I46,'Referenz Pflasterwerk'!$F46)*IF(NOT(ISBLANK('Eingabe EF'!$AS31)),'Eingabe EF'!$AS31,'Eingabe EF'!$AQ31)*IF(NOT(ISBLANK('Referenz Pflasterwerk'!$I$12)),'Referenz Pflasterwerk'!$I$12,'Referenz Pflasterwerk'!$F$12)</f>
        <v>0</v>
      </c>
      <c r="G242" s="74">
        <f>IF(NOT(ISBLANK('Referenz Pflasterwerk'!$I46)),'Referenz Pflasterwerk'!$I46,'Referenz Pflasterwerk'!$F46)*IF(NOT(ISBLANK('Eingabe EF'!$AW31)),'Eingabe EF'!$AW31,'Eingabe EF'!$AU31)*IF(NOT(ISBLANK('Referenz Pflasterwerk'!$I$12)),'Referenz Pflasterwerk'!$I$12,'Referenz Pflasterwerk'!$F$12)</f>
        <v>0</v>
      </c>
      <c r="H242" s="74">
        <f>IF(NOT(ISBLANK('Referenz Pflasterwerk'!$I46)),'Referenz Pflasterwerk'!$I46,'Referenz Pflasterwerk'!$F46)*IF(NOT(ISBLANK('Eingabe EF'!$BA31)),'Eingabe EF'!$BA31,'Eingabe EF'!$AY31)*IF(NOT(ISBLANK('Referenz Pflasterwerk'!$I$12)),'Referenz Pflasterwerk'!$I$12,'Referenz Pflasterwerk'!$F$12)</f>
        <v>1040</v>
      </c>
      <c r="I242" s="21"/>
      <c r="J242" s="74">
        <f>F242+G242</f>
        <v>0</v>
      </c>
      <c r="K242" s="74">
        <f t="shared" ref="K242" si="94">SUM(F242:H242)</f>
        <v>1040</v>
      </c>
      <c r="L242" s="21" t="s">
        <v>198</v>
      </c>
      <c r="N242" s="17"/>
      <c r="O242" s="17" t="s">
        <v>226</v>
      </c>
      <c r="P242" s="17"/>
      <c r="Q242" s="17"/>
      <c r="R242" s="17"/>
      <c r="S242" s="42">
        <f>IF(NOT(ISBLANK($K$18)),$K$18,$I$18)/IF(NOT(ISBLANK($K$23)),$K$23,$I$23)+IF(NOT(ISBLANK($K$18)),$K$18,$I$18)*(IF(NOT(ISBLANK($K$24)),$K$24,$I$24)/100)</f>
        <v>0</v>
      </c>
      <c r="T242" s="20" t="s">
        <v>109</v>
      </c>
    </row>
    <row r="243" spans="2:20" hidden="1" outlineLevel="1" x14ac:dyDescent="0.2">
      <c r="B243" s="17"/>
      <c r="C243" s="17"/>
      <c r="D243" s="17"/>
      <c r="E243" s="17"/>
      <c r="F243" s="17"/>
      <c r="G243" s="17"/>
      <c r="H243" s="17"/>
      <c r="I243" s="17"/>
      <c r="J243" s="20"/>
      <c r="K243" s="20"/>
      <c r="L243" s="17"/>
      <c r="N243" s="17"/>
      <c r="O243" s="17"/>
      <c r="P243" s="17"/>
      <c r="Q243" s="18"/>
      <c r="R243" s="17"/>
      <c r="S243" s="18"/>
      <c r="T243" s="18"/>
    </row>
    <row r="244" spans="2:20" ht="14.25" hidden="1" outlineLevel="1" x14ac:dyDescent="0.25">
      <c r="B244" s="69"/>
      <c r="C244" s="69" t="s">
        <v>182</v>
      </c>
      <c r="D244" s="70"/>
      <c r="E244" s="70"/>
      <c r="F244" s="71">
        <f>SUM(F245:F247)</f>
        <v>0</v>
      </c>
      <c r="G244" s="71">
        <f t="shared" ref="G244" si="95">SUM(G245:G247)</f>
        <v>0</v>
      </c>
      <c r="H244" s="71">
        <f t="shared" ref="H244" si="96">SUM(H245:H247)</f>
        <v>424.19999999999993</v>
      </c>
      <c r="I244" s="70"/>
      <c r="J244" s="71">
        <f t="shared" ref="J244" si="97">F244+G244</f>
        <v>0</v>
      </c>
      <c r="K244" s="71">
        <f t="shared" ref="K244" si="98">SUM(F244:H244)</f>
        <v>424.19999999999993</v>
      </c>
      <c r="L244" s="76" t="s">
        <v>198</v>
      </c>
      <c r="N244" s="17"/>
      <c r="O244" s="17" t="s">
        <v>228</v>
      </c>
      <c r="P244" s="17"/>
      <c r="Q244" s="17"/>
      <c r="R244" s="17"/>
      <c r="S244" s="42">
        <f>IF(IF(NOT(ISBLANK($G$23)),$G$23,$E$23)&gt;5,S163,0)</f>
        <v>0</v>
      </c>
      <c r="T244" s="20" t="s">
        <v>109</v>
      </c>
    </row>
    <row r="245" spans="2:20" ht="15.75" hidden="1" outlineLevel="1" x14ac:dyDescent="0.3">
      <c r="B245" s="17"/>
      <c r="C245" s="17"/>
      <c r="D245" s="17" t="s">
        <v>60</v>
      </c>
      <c r="E245" s="17"/>
      <c r="F245" s="38">
        <f>IF(NOT(ISBLANK('Referenz Pflasterwerk'!$I49)),'Referenz Pflasterwerk'!$I49,'Referenz Pflasterwerk'!$F49)*IF(NOT(ISBLANK('Eingabe EF'!$AS34)),'Eingabe EF'!$AS34,'Eingabe EF'!$AQ34)*IF(NOT(ISBLANK('Referenz Pflasterwerk'!$I$12)),'Referenz Pflasterwerk'!$I$12,'Referenz Pflasterwerk'!$F$12)</f>
        <v>0</v>
      </c>
      <c r="G245" s="38">
        <f>IF(NOT(ISBLANK('Referenz Pflasterwerk'!$I49)),'Referenz Pflasterwerk'!$I49,'Referenz Pflasterwerk'!$F49)*IF(NOT(ISBLANK('Eingabe EF'!$AW34)),'Eingabe EF'!$AW34,'Eingabe EF'!$AU34)*IF(NOT(ISBLANK('Referenz Pflasterwerk'!$I$12)),'Referenz Pflasterwerk'!$I$12,'Referenz Pflasterwerk'!$F$12)</f>
        <v>0</v>
      </c>
      <c r="H245" s="38">
        <f>IF(NOT(ISBLANK('Referenz Pflasterwerk'!$I49)),'Referenz Pflasterwerk'!$I49,'Referenz Pflasterwerk'!$F49)*IF(NOT(ISBLANK('Eingabe EF'!$BA34)),'Eingabe EF'!$BA34,'Eingabe EF'!$AY34)*IF(NOT(ISBLANK('Referenz Pflasterwerk'!$I$12)),'Referenz Pflasterwerk'!$I$12,'Referenz Pflasterwerk'!$F$12)</f>
        <v>356.4</v>
      </c>
      <c r="I245" s="17"/>
      <c r="J245" s="38">
        <f>F245+G245</f>
        <v>0</v>
      </c>
      <c r="K245" s="38">
        <f>SUM(F245:H245)</f>
        <v>356.4</v>
      </c>
      <c r="L245" s="17" t="s">
        <v>199</v>
      </c>
      <c r="N245" s="17"/>
      <c r="O245" s="17" t="s">
        <v>229</v>
      </c>
      <c r="P245" s="17"/>
      <c r="Q245" s="18"/>
      <c r="R245" s="17"/>
      <c r="S245" s="42">
        <f>IF(NOT(ISBLANK($K$20)),$K$20,$I$20)/IF(NOT(ISBLANK($K$23)),$K$23,$I$23)+IF(NOT(ISBLANK($K$20)),$K$20,$I$20)*(IF(NOT(ISBLANK($K$24)),$K$24,$I$24)/100)</f>
        <v>0</v>
      </c>
      <c r="T245" s="20" t="s">
        <v>109</v>
      </c>
    </row>
    <row r="246" spans="2:20" ht="15.75" hidden="1" outlineLevel="1" x14ac:dyDescent="0.3">
      <c r="B246" s="17"/>
      <c r="C246" s="17"/>
      <c r="D246" s="17" t="s">
        <v>61</v>
      </c>
      <c r="E246" s="17"/>
      <c r="F246" s="38">
        <f>IF(NOT(ISBLANK('Referenz Pflasterwerk'!$I50)),'Referenz Pflasterwerk'!$I50,'Referenz Pflasterwerk'!$F50)*IF(NOT(ISBLANK('Eingabe EF'!$AS35)),'Eingabe EF'!$AS35,'Eingabe EF'!$AQ35)*IF(NOT(ISBLANK('Referenz Pflasterwerk'!$I$12)),'Referenz Pflasterwerk'!$I$12,'Referenz Pflasterwerk'!$F$12)</f>
        <v>0</v>
      </c>
      <c r="G246" s="38">
        <f>IF(NOT(ISBLANK('Referenz Pflasterwerk'!$I50)),'Referenz Pflasterwerk'!$I50,'Referenz Pflasterwerk'!$F50)*IF(NOT(ISBLANK('Eingabe EF'!$AW35)),'Eingabe EF'!$AW35,'Eingabe EF'!$AU35)*IF(NOT(ISBLANK('Referenz Pflasterwerk'!$I$12)),'Referenz Pflasterwerk'!$I$12,'Referenz Pflasterwerk'!$F$12)</f>
        <v>0</v>
      </c>
      <c r="H246" s="38">
        <f>IF(NOT(ISBLANK('Referenz Pflasterwerk'!$I50)),'Referenz Pflasterwerk'!$I50,'Referenz Pflasterwerk'!$F50)*IF(NOT(ISBLANK('Eingabe EF'!$BA35)),'Eingabe EF'!$BA35,'Eingabe EF'!$AY35)*IF(NOT(ISBLANK('Referenz Pflasterwerk'!$I$12)),'Referenz Pflasterwerk'!$I$12,'Referenz Pflasterwerk'!$F$12)</f>
        <v>0</v>
      </c>
      <c r="I246" s="17"/>
      <c r="J246" s="38">
        <f>F246+G246</f>
        <v>0</v>
      </c>
      <c r="K246" s="38">
        <f>SUM(F246:H246)</f>
        <v>0</v>
      </c>
      <c r="L246" s="17" t="s">
        <v>199</v>
      </c>
      <c r="N246" s="17"/>
      <c r="O246" s="17"/>
      <c r="P246" s="17"/>
      <c r="Q246" s="18"/>
      <c r="R246" s="17"/>
      <c r="S246" s="18"/>
      <c r="T246" s="18"/>
    </row>
    <row r="247" spans="2:20" ht="15.75" hidden="1" outlineLevel="1" x14ac:dyDescent="0.3">
      <c r="B247" s="17"/>
      <c r="C247" s="17"/>
      <c r="D247" s="17" t="s">
        <v>62</v>
      </c>
      <c r="E247" s="17"/>
      <c r="F247" s="38">
        <f>IF(NOT(ISBLANK('Referenz Pflasterwerk'!$I51)),'Referenz Pflasterwerk'!$I51,'Referenz Pflasterwerk'!$F51)*IF(NOT(ISBLANK('Eingabe EF'!$AS36)),'Eingabe EF'!$AS36,'Eingabe EF'!$AQ36)*IF(NOT(ISBLANK('Referenz Pflasterwerk'!$I$12)),'Referenz Pflasterwerk'!$I$12,'Referenz Pflasterwerk'!$F$12)</f>
        <v>0</v>
      </c>
      <c r="G247" s="38">
        <f>IF(NOT(ISBLANK('Referenz Pflasterwerk'!$I51)),'Referenz Pflasterwerk'!$I51,'Referenz Pflasterwerk'!$F51)*IF(NOT(ISBLANK('Eingabe EF'!$AW36)),'Eingabe EF'!$AW36,'Eingabe EF'!$AU36)*IF(NOT(ISBLANK('Referenz Pflasterwerk'!$I$12)),'Referenz Pflasterwerk'!$I$12,'Referenz Pflasterwerk'!$F$12)</f>
        <v>0</v>
      </c>
      <c r="H247" s="38">
        <f>IF(NOT(ISBLANK('Referenz Pflasterwerk'!$I51)),'Referenz Pflasterwerk'!$I51,'Referenz Pflasterwerk'!$F51)*IF(NOT(ISBLANK('Eingabe EF'!$BA36)),'Eingabe EF'!$BA36,'Eingabe EF'!$AY36)*IF(NOT(ISBLANK('Referenz Pflasterwerk'!$I$12)),'Referenz Pflasterwerk'!$I$12,'Referenz Pflasterwerk'!$F$12)</f>
        <v>67.799999999999983</v>
      </c>
      <c r="I247" s="17"/>
      <c r="J247" s="38">
        <f>F247+G247</f>
        <v>0</v>
      </c>
      <c r="K247" s="38">
        <f>SUM(F247:H247)</f>
        <v>67.799999999999983</v>
      </c>
      <c r="L247" s="17" t="s">
        <v>199</v>
      </c>
      <c r="N247" s="17"/>
      <c r="O247" s="17"/>
      <c r="P247" s="17"/>
      <c r="Q247" s="17"/>
      <c r="R247" s="17"/>
      <c r="S247" s="17"/>
      <c r="T247" s="17"/>
    </row>
    <row r="248" spans="2:20" hidden="1" outlineLevel="1" x14ac:dyDescent="0.2">
      <c r="B248" s="17"/>
      <c r="C248" s="17"/>
      <c r="D248" s="17"/>
      <c r="E248" s="17"/>
      <c r="F248" s="17"/>
      <c r="G248" s="17"/>
      <c r="H248" s="17"/>
      <c r="I248" s="17"/>
      <c r="J248" s="17"/>
      <c r="K248" s="20"/>
      <c r="L248" s="20"/>
      <c r="N248" s="17"/>
      <c r="O248" s="17"/>
      <c r="P248" s="17"/>
      <c r="Q248" s="18"/>
      <c r="R248" s="17"/>
      <c r="S248" s="18"/>
      <c r="T248" s="18"/>
    </row>
    <row r="249" spans="2:20" ht="14.25" hidden="1" outlineLevel="1" x14ac:dyDescent="0.25">
      <c r="B249" s="69"/>
      <c r="C249" s="69" t="s">
        <v>52</v>
      </c>
      <c r="D249" s="70"/>
      <c r="E249" s="70"/>
      <c r="F249" s="71">
        <f>SUM(F250:F253)</f>
        <v>0</v>
      </c>
      <c r="G249" s="71">
        <f t="shared" ref="G249" si="99">SUM(G250:G253)</f>
        <v>0</v>
      </c>
      <c r="H249" s="71">
        <f t="shared" ref="H249" si="100">SUM(H250:H253)</f>
        <v>185.55932668689491</v>
      </c>
      <c r="I249" s="70"/>
      <c r="J249" s="71">
        <f t="shared" ref="J249" si="101">F249+G249</f>
        <v>0</v>
      </c>
      <c r="K249" s="71">
        <f t="shared" ref="K249" si="102">SUM(F249:H249)</f>
        <v>185.55932668689491</v>
      </c>
      <c r="L249" s="76" t="s">
        <v>198</v>
      </c>
    </row>
    <row r="250" spans="2:20" ht="15.75" hidden="1" outlineLevel="1" x14ac:dyDescent="0.3">
      <c r="B250" s="17"/>
      <c r="C250" s="17"/>
      <c r="D250" s="17" t="s">
        <v>53</v>
      </c>
      <c r="E250" s="17"/>
      <c r="F250" s="38">
        <f>IF(NOT(ISBLANK('Referenz Pflasterwerk'!$I$53)),'Referenz Pflasterwerk'!$I$53,'Referenz Pflasterwerk'!$F$53)*IF(NOT(ISBLANK('Referenz Pflasterwerk'!$I54)),'Referenz Pflasterwerk'!$I54,'Referenz Pflasterwerk'!$F54)*IF(NOT(ISBLANK('Eingabe EF'!$AS39)),'Eingabe EF'!$AS39,'Eingabe EF'!$AQ39)*IF(NOT(ISBLANK('Referenz Pflasterwerk'!$I$12)),'Referenz Pflasterwerk'!$I$12,'Referenz Pflasterwerk'!$F$12)</f>
        <v>0</v>
      </c>
      <c r="G250" s="38">
        <f>IF(NOT(ISBLANK('Referenz Pflasterwerk'!$I$53)),'Referenz Pflasterwerk'!$I$53,'Referenz Pflasterwerk'!$F$53)*IF(NOT(ISBLANK('Referenz Pflasterwerk'!$I54)),'Referenz Pflasterwerk'!$I54,'Referenz Pflasterwerk'!$F54)*IF(NOT(ISBLANK('Eingabe EF'!$AW39)),'Eingabe EF'!$AW39,'Eingabe EF'!$AU39)*IF(NOT(ISBLANK('Referenz Pflasterwerk'!$I$12)),'Referenz Pflasterwerk'!$I$12,'Referenz Pflasterwerk'!$F$12)</f>
        <v>0</v>
      </c>
      <c r="H250" s="38">
        <f>IF(NOT(ISBLANK('Referenz Pflasterwerk'!$I$53)),'Referenz Pflasterwerk'!$I$53,'Referenz Pflasterwerk'!$F$53)*IF(NOT(ISBLANK('Referenz Pflasterwerk'!$I54)),'Referenz Pflasterwerk'!$I54,'Referenz Pflasterwerk'!$F54)*IF(NOT(ISBLANK('Eingabe EF'!$BA39)),'Eingabe EF'!$BA39,'Eingabe EF'!$AY39)*IF(NOT(ISBLANK('Referenz Pflasterwerk'!$I$12)),'Referenz Pflasterwerk'!$I$12,'Referenz Pflasterwerk'!$F$12)</f>
        <v>59.997399219765924</v>
      </c>
      <c r="I250" s="17"/>
      <c r="J250" s="38">
        <f t="shared" ref="J250:J253" si="103">F250+G250</f>
        <v>0</v>
      </c>
      <c r="K250" s="38">
        <f t="shared" ref="K250:K253" si="104">SUM(F250:H250)</f>
        <v>59.997399219765924</v>
      </c>
      <c r="L250" s="17" t="s">
        <v>199</v>
      </c>
    </row>
    <row r="251" spans="2:20" ht="15.75" hidden="1" outlineLevel="1" x14ac:dyDescent="0.3">
      <c r="B251" s="17"/>
      <c r="C251" s="17"/>
      <c r="D251" s="17" t="s">
        <v>55</v>
      </c>
      <c r="E251" s="17"/>
      <c r="F251" s="38">
        <f>IF(NOT(ISBLANK('Referenz Pflasterwerk'!$I$53)),'Referenz Pflasterwerk'!$I$53,'Referenz Pflasterwerk'!$F$53)*IF(NOT(ISBLANK('Referenz Pflasterwerk'!$I55)),'Referenz Pflasterwerk'!$I55,'Referenz Pflasterwerk'!$F55)*IF(NOT(ISBLANK('Eingabe EF'!$AS40)),'Eingabe EF'!$AS40,'Eingabe EF'!$AQ40)*IF(NOT(ISBLANK('Referenz Pflasterwerk'!$I$12)),'Referenz Pflasterwerk'!$I$12,'Referenz Pflasterwerk'!$F$12)</f>
        <v>0</v>
      </c>
      <c r="G251" s="38">
        <f>IF(NOT(ISBLANK('Referenz Pflasterwerk'!$I$53)),'Referenz Pflasterwerk'!$I$53,'Referenz Pflasterwerk'!$F$53)*IF(NOT(ISBLANK('Referenz Pflasterwerk'!$I55)),'Referenz Pflasterwerk'!$I55,'Referenz Pflasterwerk'!$F55)*IF(NOT(ISBLANK('Eingabe EF'!$AW40)),'Eingabe EF'!$AW40,'Eingabe EF'!$AU40)*IF(NOT(ISBLANK('Referenz Pflasterwerk'!$I$12)),'Referenz Pflasterwerk'!$I$12,'Referenz Pflasterwerk'!$F$12)</f>
        <v>0</v>
      </c>
      <c r="H251" s="38">
        <f>IF(NOT(ISBLANK('Referenz Pflasterwerk'!$I$53)),'Referenz Pflasterwerk'!$I$53,'Referenz Pflasterwerk'!$F$53)*IF(NOT(ISBLANK('Referenz Pflasterwerk'!$I55)),'Referenz Pflasterwerk'!$I55,'Referenz Pflasterwerk'!$F55)*IF(NOT(ISBLANK('Eingabe EF'!$BA40)),'Eingabe EF'!$BA40,'Eingabe EF'!$AY40)*IF(NOT(ISBLANK('Referenz Pflasterwerk'!$I$12)),'Referenz Pflasterwerk'!$I$12,'Referenz Pflasterwerk'!$F$12)</f>
        <v>7.224692963444574</v>
      </c>
      <c r="I251" s="17"/>
      <c r="J251" s="38">
        <f t="shared" si="103"/>
        <v>0</v>
      </c>
      <c r="K251" s="38">
        <f t="shared" si="104"/>
        <v>7.224692963444574</v>
      </c>
      <c r="L251" s="17" t="s">
        <v>199</v>
      </c>
    </row>
    <row r="252" spans="2:20" ht="15.75" hidden="1" outlineLevel="1" x14ac:dyDescent="0.3">
      <c r="B252" s="17"/>
      <c r="C252" s="17"/>
      <c r="D252" s="17" t="s">
        <v>56</v>
      </c>
      <c r="E252" s="17"/>
      <c r="F252" s="38">
        <f>IF(NOT(ISBLANK('Referenz Pflasterwerk'!$I$53)),'Referenz Pflasterwerk'!$I$53,'Referenz Pflasterwerk'!$F$53)*IF(NOT(ISBLANK('Referenz Pflasterwerk'!$I56)),'Referenz Pflasterwerk'!$I56,'Referenz Pflasterwerk'!$F56)*IF(NOT(ISBLANK('Eingabe EF'!$AS41)),'Eingabe EF'!$AS41,'Eingabe EF'!$AQ41)*IF(NOT(ISBLANK('Referenz Pflasterwerk'!$I$12)),'Referenz Pflasterwerk'!$I$12,'Referenz Pflasterwerk'!$F$12)</f>
        <v>0</v>
      </c>
      <c r="G252" s="38">
        <f>IF(NOT(ISBLANK('Referenz Pflasterwerk'!$I$53)),'Referenz Pflasterwerk'!$I$53,'Referenz Pflasterwerk'!$F$53)*IF(NOT(ISBLANK('Referenz Pflasterwerk'!$I56)),'Referenz Pflasterwerk'!$I56,'Referenz Pflasterwerk'!$F56)*IF(NOT(ISBLANK('Eingabe EF'!$AW41)),'Eingabe EF'!$AW41,'Eingabe EF'!$AU41)*IF(NOT(ISBLANK('Referenz Pflasterwerk'!$I$12)),'Referenz Pflasterwerk'!$I$12,'Referenz Pflasterwerk'!$F$12)</f>
        <v>0</v>
      </c>
      <c r="H252" s="38">
        <f>IF(NOT(ISBLANK('Referenz Pflasterwerk'!$I$53)),'Referenz Pflasterwerk'!$I$53,'Referenz Pflasterwerk'!$F$53)*IF(NOT(ISBLANK('Referenz Pflasterwerk'!$I56)),'Referenz Pflasterwerk'!$I56,'Referenz Pflasterwerk'!$F56)*IF(NOT(ISBLANK('Eingabe EF'!$BA41)),'Eingabe EF'!$BA41,'Eingabe EF'!$AY41)*IF(NOT(ISBLANK('Referenz Pflasterwerk'!$I$12)),'Referenz Pflasterwerk'!$I$12,'Referenz Pflasterwerk'!$F$12)</f>
        <v>1.7771998266146515E-2</v>
      </c>
      <c r="I252" s="17"/>
      <c r="J252" s="38">
        <f t="shared" si="103"/>
        <v>0</v>
      </c>
      <c r="K252" s="38">
        <f t="shared" si="104"/>
        <v>1.7771998266146515E-2</v>
      </c>
      <c r="L252" s="17" t="s">
        <v>199</v>
      </c>
    </row>
    <row r="253" spans="2:20" ht="15.75" hidden="1" outlineLevel="1" x14ac:dyDescent="0.3">
      <c r="B253" s="17"/>
      <c r="C253" s="17"/>
      <c r="D253" s="17" t="s">
        <v>57</v>
      </c>
      <c r="E253" s="17"/>
      <c r="F253" s="38">
        <f>IF(NOT(ISBLANK('Referenz Pflasterwerk'!$I$53)),'Referenz Pflasterwerk'!$I$53,'Referenz Pflasterwerk'!$F$53)*IF(NOT(ISBLANK('Referenz Pflasterwerk'!$I57)),'Referenz Pflasterwerk'!$I57,'Referenz Pflasterwerk'!$F57)*IF(NOT(ISBLANK('Eingabe EF'!$AS42)),'Eingabe EF'!$AS42,'Eingabe EF'!$AQ42)*IF(NOT(ISBLANK('Referenz Pflasterwerk'!$I$12)),'Referenz Pflasterwerk'!$I$12,'Referenz Pflasterwerk'!$F$12)</f>
        <v>0</v>
      </c>
      <c r="G253" s="38">
        <f>IF(NOT(ISBLANK('Referenz Pflasterwerk'!$I$53)),'Referenz Pflasterwerk'!$I$53,'Referenz Pflasterwerk'!$F$53)*IF(NOT(ISBLANK('Referenz Pflasterwerk'!$I57)),'Referenz Pflasterwerk'!$I57,'Referenz Pflasterwerk'!$F57)*IF(NOT(ISBLANK('Eingabe EF'!$AW42)),'Eingabe EF'!$AW42,'Eingabe EF'!$AU42)*IF(NOT(ISBLANK('Referenz Pflasterwerk'!$I$12)),'Referenz Pflasterwerk'!$I$12,'Referenz Pflasterwerk'!$F$12)</f>
        <v>0</v>
      </c>
      <c r="H253" s="38">
        <f>IF(NOT(ISBLANK('Referenz Pflasterwerk'!$I$53)),'Referenz Pflasterwerk'!$I$53,'Referenz Pflasterwerk'!$F$53)*IF(NOT(ISBLANK('Referenz Pflasterwerk'!$I57)),'Referenz Pflasterwerk'!$I57,'Referenz Pflasterwerk'!$F57)*IF(NOT(ISBLANK('Eingabe EF'!$BA42)),'Eingabe EF'!$BA42,'Eingabe EF'!$AY42)*IF(NOT(ISBLANK('Referenz Pflasterwerk'!$I$12)),'Referenz Pflasterwerk'!$I$12,'Referenz Pflasterwerk'!$F$12)</f>
        <v>118.31946250541829</v>
      </c>
      <c r="I253" s="17"/>
      <c r="J253" s="38">
        <f t="shared" si="103"/>
        <v>0</v>
      </c>
      <c r="K253" s="38">
        <f t="shared" si="104"/>
        <v>118.31946250541829</v>
      </c>
      <c r="L253" s="17" t="s">
        <v>199</v>
      </c>
    </row>
    <row r="254" spans="2:20" hidden="1" outlineLevel="1" x14ac:dyDescent="0.2">
      <c r="B254" s="17"/>
      <c r="C254" s="17"/>
      <c r="D254" s="17"/>
      <c r="E254" s="17"/>
      <c r="F254" s="17"/>
      <c r="G254" s="17"/>
      <c r="H254" s="17"/>
      <c r="I254" s="17"/>
      <c r="J254" s="17"/>
      <c r="K254" s="17"/>
      <c r="L254" s="20"/>
    </row>
    <row r="255" spans="2:20" ht="14.25" hidden="1" outlineLevel="1" x14ac:dyDescent="0.25">
      <c r="B255" s="17"/>
      <c r="C255" s="17"/>
      <c r="D255" s="21" t="s">
        <v>113</v>
      </c>
      <c r="E255" s="21"/>
      <c r="F255" s="74">
        <f>IF(NOT(ISBLANK('Referenz Pflasterwerk'!$I59)),'Referenz Pflasterwerk'!$I59,'Referenz Pflasterwerk'!$F59)*IF(NOT(ISBLANK('Eingabe EF'!$AS44)),'Eingabe EF'!$AS44,0)*IF(NOT(ISBLANK('Referenz Pflasterwerk'!$I$12)),'Referenz Pflasterwerk'!$I$12,'Referenz Pflasterwerk'!$F$12)</f>
        <v>0</v>
      </c>
      <c r="G255" s="74">
        <f>IF(NOT(ISBLANK('Referenz Pflasterwerk'!$I59)),'Referenz Pflasterwerk'!$I59,'Referenz Pflasterwerk'!$F59)*IF(NOT(ISBLANK('Eingabe EF'!$AW44)),'Eingabe EF'!$AW44,0)*IF(NOT(ISBLANK('Referenz Pflasterwerk'!$I$12)),'Referenz Pflasterwerk'!$I$12,'Referenz Pflasterwerk'!$F$12)</f>
        <v>0</v>
      </c>
      <c r="H255" s="74">
        <f>IF(NOT(ISBLANK('Referenz Pflasterwerk'!$I59)),'Referenz Pflasterwerk'!$I59,'Referenz Pflasterwerk'!$F59)*IF(NOT(ISBLANK('Eingabe EF'!$BA44)),'Eingabe EF'!$BA44,0)*IF(NOT(ISBLANK('Referenz Pflasterwerk'!$I$12)),'Referenz Pflasterwerk'!$I$12,'Referenz Pflasterwerk'!$F$12)</f>
        <v>0</v>
      </c>
      <c r="I255" s="21"/>
      <c r="J255" s="74">
        <f>F255+G255</f>
        <v>0</v>
      </c>
      <c r="K255" s="74">
        <f>SUM(F255:H255)</f>
        <v>0</v>
      </c>
      <c r="L255" s="21" t="s">
        <v>198</v>
      </c>
    </row>
    <row r="256" spans="2:20" ht="14.25" hidden="1" outlineLevel="1" x14ac:dyDescent="0.25">
      <c r="B256" s="17"/>
      <c r="C256" s="17"/>
      <c r="D256" s="21" t="s">
        <v>65</v>
      </c>
      <c r="E256" s="21"/>
      <c r="F256" s="75">
        <f>IF(NOT(ISBLANK('Referenz Pflasterwerk'!$I60)),'Referenz Pflasterwerk'!$I60,'Referenz Pflasterwerk'!$F60)*IF(NOT(ISBLANK('Eingabe EF'!$AS45)),'Eingabe EF'!$AS45,'Eingabe EF'!$AQ45)</f>
        <v>0</v>
      </c>
      <c r="G256" s="75">
        <f>IF(NOT(ISBLANK('Referenz Pflasterwerk'!$I60)),'Referenz Pflasterwerk'!$I60,'Referenz Pflasterwerk'!$F60)*IF(NOT(ISBLANK('Eingabe EF'!$AW45)),'Eingabe EF'!$AW45,'Eingabe EF'!$AU45)</f>
        <v>0</v>
      </c>
      <c r="H256" s="75">
        <f>IF(NOT(ISBLANK('Referenz Pflasterwerk'!$I60)),'Referenz Pflasterwerk'!$I60,'Referenz Pflasterwerk'!$F60)*IF(NOT(ISBLANK('Eingabe EF'!$BA45)),'Eingabe EF'!$BA45,'Eingabe EF'!$AY45)</f>
        <v>5.4399999999999997E-2</v>
      </c>
      <c r="I256" s="21"/>
      <c r="J256" s="74">
        <f>F256+G256</f>
        <v>0</v>
      </c>
      <c r="K256" s="74">
        <f>SUM(F256:H256)</f>
        <v>5.4399999999999997E-2</v>
      </c>
      <c r="L256" s="21" t="s">
        <v>198</v>
      </c>
    </row>
    <row r="257" spans="2:12" hidden="1" outlineLevel="1" x14ac:dyDescent="0.2">
      <c r="B257" s="17"/>
      <c r="C257" s="17"/>
      <c r="D257" s="17"/>
      <c r="E257" s="17"/>
      <c r="F257" s="17"/>
      <c r="G257" s="17"/>
      <c r="H257" s="17"/>
      <c r="I257" s="17"/>
      <c r="J257" s="17"/>
      <c r="K257" s="17"/>
      <c r="L257" s="20"/>
    </row>
    <row r="258" spans="2:12" ht="14.25" hidden="1" outlineLevel="1" x14ac:dyDescent="0.25">
      <c r="B258" s="69"/>
      <c r="C258" s="69" t="s">
        <v>183</v>
      </c>
      <c r="D258" s="70"/>
      <c r="E258" s="70"/>
      <c r="F258" s="71">
        <f>SUM(F259:F261)</f>
        <v>0</v>
      </c>
      <c r="G258" s="71">
        <f t="shared" ref="G258" si="105">SUM(G259:G261)</f>
        <v>0</v>
      </c>
      <c r="H258" s="71">
        <f t="shared" ref="H258" si="106">SUM(H259:H261)</f>
        <v>0</v>
      </c>
      <c r="I258" s="70"/>
      <c r="J258" s="71">
        <f t="shared" ref="J258" si="107">F258+G258</f>
        <v>0</v>
      </c>
      <c r="K258" s="71">
        <f t="shared" ref="K258" si="108">SUM(F258:H258)</f>
        <v>0</v>
      </c>
      <c r="L258" s="76" t="s">
        <v>198</v>
      </c>
    </row>
    <row r="259" spans="2:12" ht="15.75" hidden="1" outlineLevel="1" x14ac:dyDescent="0.3">
      <c r="B259" s="17"/>
      <c r="C259" s="17"/>
      <c r="D259" s="17" t="s">
        <v>184</v>
      </c>
      <c r="E259" s="17"/>
      <c r="F259" s="38">
        <f>IF(NOT(ISBLANK('Referenz Pflasterwerk'!$I63)),'Referenz Pflasterwerk'!$I63,'Referenz Pflasterwerk'!$F63)*IF(NOT(ISBLANK('Eingabe EF'!$AS48)),'Eingabe EF'!$AS48,0)*IF(NOT(ISBLANK('Referenz Pflasterwerk'!$I$12)),'Referenz Pflasterwerk'!$I$12,'Referenz Pflasterwerk'!$F$12)</f>
        <v>0</v>
      </c>
      <c r="G259" s="38">
        <f>IF(NOT(ISBLANK('Referenz Pflasterwerk'!$I63)),'Referenz Pflasterwerk'!$I63,'Referenz Pflasterwerk'!$F63)*IF(NOT(ISBLANK('Eingabe EF'!$AW48)),'Eingabe EF'!$AW48,0)*IF(NOT(ISBLANK('Referenz Pflasterwerk'!$I$12)),'Referenz Pflasterwerk'!$I$12,'Referenz Pflasterwerk'!$F$12)</f>
        <v>0</v>
      </c>
      <c r="H259" s="38">
        <f>IF(NOT(ISBLANK('Referenz Pflasterwerk'!$I63)),'Referenz Pflasterwerk'!$I63,'Referenz Pflasterwerk'!$F63)*IF(NOT(ISBLANK('Eingabe EF'!$BA48)),'Eingabe EF'!$BA48,0)*IF(NOT(ISBLANK('Referenz Pflasterwerk'!$I$12)),'Referenz Pflasterwerk'!$I$12,'Referenz Pflasterwerk'!$F$12)</f>
        <v>0</v>
      </c>
      <c r="I259" s="17"/>
      <c r="J259" s="38">
        <f>F259+G259</f>
        <v>0</v>
      </c>
      <c r="K259" s="38">
        <f>SUM(F259:H259)</f>
        <v>0</v>
      </c>
      <c r="L259" s="17" t="s">
        <v>199</v>
      </c>
    </row>
    <row r="260" spans="2:12" ht="15.75" hidden="1" outlineLevel="1" x14ac:dyDescent="0.3">
      <c r="B260" s="17"/>
      <c r="C260" s="17"/>
      <c r="D260" s="17" t="s">
        <v>63</v>
      </c>
      <c r="E260" s="17"/>
      <c r="F260" s="38">
        <f>IF(NOT(ISBLANK('Referenz Pflasterwerk'!$I64)),'Referenz Pflasterwerk'!$I64,'Referenz Pflasterwerk'!$F64)*IF(NOT(ISBLANK('Eingabe EF'!$AS49)),'Eingabe EF'!$AS49,'Eingabe EF'!$AQ49)*IF(NOT(ISBLANK('Referenz Pflasterwerk'!$I$12)),'Referenz Pflasterwerk'!$I$12,'Referenz Pflasterwerk'!$F$12)</f>
        <v>0</v>
      </c>
      <c r="G260" s="38">
        <f>IF(NOT(ISBLANK('Referenz Pflasterwerk'!$I64)),'Referenz Pflasterwerk'!$I64,'Referenz Pflasterwerk'!$F64)*IF(NOT(ISBLANK('Eingabe EF'!$AW49)),'Eingabe EF'!$AW49,'Eingabe EF'!$AU49)*IF(NOT(ISBLANK('Referenz Pflasterwerk'!$I$12)),'Referenz Pflasterwerk'!$I$12,'Referenz Pflasterwerk'!$F$12)</f>
        <v>0</v>
      </c>
      <c r="H260" s="38">
        <f>IF(NOT(ISBLANK('Referenz Pflasterwerk'!$I64)),'Referenz Pflasterwerk'!$I64,'Referenz Pflasterwerk'!$F64)*IF(NOT(ISBLANK('Eingabe EF'!$BA49)),'Eingabe EF'!$BA49,'Eingabe EF'!$AY49)*IF(NOT(ISBLANK('Referenz Pflasterwerk'!$I$12)),'Referenz Pflasterwerk'!$I$12,'Referenz Pflasterwerk'!$F$12)</f>
        <v>0</v>
      </c>
      <c r="I260" s="17"/>
      <c r="J260" s="38">
        <f t="shared" ref="J260" si="109">F260+G260</f>
        <v>0</v>
      </c>
      <c r="K260" s="38">
        <f t="shared" ref="K260" si="110">SUM(F260:H260)</f>
        <v>0</v>
      </c>
      <c r="L260" s="17" t="s">
        <v>199</v>
      </c>
    </row>
    <row r="261" spans="2:12" ht="15.75" hidden="1" outlineLevel="1" x14ac:dyDescent="0.3">
      <c r="B261" s="17"/>
      <c r="C261" s="17"/>
      <c r="D261" s="17" t="s">
        <v>185</v>
      </c>
      <c r="E261" s="17"/>
      <c r="F261" s="38">
        <f>IF(NOT(ISBLANK('Referenz Pflasterwerk'!$I65)),'Referenz Pflasterwerk'!$I65,'Referenz Pflasterwerk'!$F65)*IF(NOT(ISBLANK('Eingabe EF'!$AS50)),'Eingabe EF'!$AS50,0)*IF(NOT(ISBLANK('Referenz Pflasterwerk'!$I$12)),'Referenz Pflasterwerk'!$I$12,'Referenz Pflasterwerk'!$F$12)</f>
        <v>0</v>
      </c>
      <c r="G261" s="38">
        <f>IF(NOT(ISBLANK('Referenz Pflasterwerk'!$I65)),'Referenz Pflasterwerk'!$I65,'Referenz Pflasterwerk'!$F65)*IF(NOT(ISBLANK('Eingabe EF'!$AW50)),'Eingabe EF'!$AW50,0)*IF(NOT(ISBLANK('Referenz Pflasterwerk'!$I$12)),'Referenz Pflasterwerk'!$I$12,'Referenz Pflasterwerk'!$F$12)</f>
        <v>0</v>
      </c>
      <c r="H261" s="38">
        <f>IF(NOT(ISBLANK('Referenz Pflasterwerk'!$I65)),'Referenz Pflasterwerk'!$I65,'Referenz Pflasterwerk'!$F65)*IF(NOT(ISBLANK('Eingabe EF'!$BA50)),'Eingabe EF'!$BA50,0)*IF(NOT(ISBLANK('Referenz Pflasterwerk'!$I$12)),'Referenz Pflasterwerk'!$I$12,'Referenz Pflasterwerk'!$F$12)</f>
        <v>0</v>
      </c>
      <c r="I261" s="17"/>
      <c r="J261" s="38">
        <f>F261+G261</f>
        <v>0</v>
      </c>
      <c r="K261" s="38">
        <f>SUM(F261:H261)</f>
        <v>0</v>
      </c>
      <c r="L261" s="17" t="s">
        <v>199</v>
      </c>
    </row>
    <row r="262" spans="2:12" hidden="1" outlineLevel="1" x14ac:dyDescent="0.2">
      <c r="B262" s="17"/>
      <c r="C262" s="17"/>
      <c r="D262" s="17"/>
      <c r="E262" s="17"/>
      <c r="F262" s="17"/>
      <c r="G262" s="17"/>
      <c r="H262" s="17"/>
      <c r="I262" s="17"/>
      <c r="J262" s="17"/>
      <c r="K262" s="17"/>
      <c r="L262" s="20"/>
    </row>
    <row r="263" spans="2:12" ht="14.25" hidden="1" outlineLevel="1" x14ac:dyDescent="0.25">
      <c r="B263" s="69"/>
      <c r="C263" s="69" t="s">
        <v>186</v>
      </c>
      <c r="D263" s="70"/>
      <c r="E263" s="70"/>
      <c r="F263" s="71">
        <f>SUM(F264:F266)</f>
        <v>0</v>
      </c>
      <c r="G263" s="71">
        <f t="shared" ref="G263" si="111">SUM(G264:G266)</f>
        <v>0</v>
      </c>
      <c r="H263" s="71">
        <f t="shared" ref="H263" si="112">SUM(H264:H266)</f>
        <v>0</v>
      </c>
      <c r="I263" s="70"/>
      <c r="J263" s="71">
        <f t="shared" ref="J263" si="113">F263+G263</f>
        <v>0</v>
      </c>
      <c r="K263" s="71">
        <f t="shared" ref="K263" si="114">SUM(F263:H263)</f>
        <v>0</v>
      </c>
      <c r="L263" s="76" t="s">
        <v>198</v>
      </c>
    </row>
    <row r="264" spans="2:12" ht="15.75" hidden="1" outlineLevel="1" x14ac:dyDescent="0.3">
      <c r="B264" s="17"/>
      <c r="C264" s="17"/>
      <c r="D264" s="17" t="s">
        <v>67</v>
      </c>
      <c r="E264" s="17"/>
      <c r="F264" s="44">
        <f>IF(NOT(ISBLANK('Referenz Pflasterwerk'!$I68)),'Referenz Pflasterwerk'!$I68,'Referenz Pflasterwerk'!$F68)*IF(NOT(ISBLANK('Eingabe EF'!$AS53)),'Eingabe EF'!$AS53,'Eingabe EF'!$AQ53)</f>
        <v>0</v>
      </c>
      <c r="G264" s="44">
        <f>IF(NOT(ISBLANK('Referenz Pflasterwerk'!$I68)),'Referenz Pflasterwerk'!$I68,'Referenz Pflasterwerk'!$F68)*IF(NOT(ISBLANK('Eingabe EF'!$AW53)),'Eingabe EF'!$AW53,'Eingabe EF'!$AU53)</f>
        <v>0</v>
      </c>
      <c r="H264" s="44">
        <f>IF(NOT(ISBLANK('Referenz Pflasterwerk'!$I68)),'Referenz Pflasterwerk'!$I68,'Referenz Pflasterwerk'!$F68)*IF(NOT(ISBLANK('Eingabe EF'!$BA53)),'Eingabe EF'!$BA53,'Eingabe EF'!$AY53)</f>
        <v>0</v>
      </c>
      <c r="I264" s="17"/>
      <c r="J264" s="38">
        <f>F264+G264</f>
        <v>0</v>
      </c>
      <c r="K264" s="38">
        <f>SUM(F264:H264)</f>
        <v>0</v>
      </c>
      <c r="L264" s="17" t="s">
        <v>199</v>
      </c>
    </row>
    <row r="265" spans="2:12" ht="15.75" hidden="1" outlineLevel="1" x14ac:dyDescent="0.3">
      <c r="B265" s="17"/>
      <c r="C265" s="17"/>
      <c r="D265" s="17" t="s">
        <v>188</v>
      </c>
      <c r="E265" s="17"/>
      <c r="F265" s="44">
        <f>IF(NOT(ISBLANK('Referenz Pflasterwerk'!$I69)),'Referenz Pflasterwerk'!$I69,'Referenz Pflasterwerk'!$F69)*IF(NOT(ISBLANK('Eingabe EF'!$AS54)),'Eingabe EF'!$AS54,0)</f>
        <v>0</v>
      </c>
      <c r="G265" s="44">
        <f>IF(NOT(ISBLANK('Referenz Pflasterwerk'!$I69)),'Referenz Pflasterwerk'!$I69,'Referenz Pflasterwerk'!$F69)*IF(NOT(ISBLANK('Eingabe EF'!$AW54)),'Eingabe EF'!$AW54,0)</f>
        <v>0</v>
      </c>
      <c r="H265" s="44">
        <f>IF(NOT(ISBLANK('Referenz Pflasterwerk'!$I69)),'Referenz Pflasterwerk'!$I69,'Referenz Pflasterwerk'!$F69)*IF(NOT(ISBLANK('Eingabe EF'!$BA54)),'Eingabe EF'!$BA54,0)</f>
        <v>0</v>
      </c>
      <c r="I265" s="17"/>
      <c r="J265" s="38">
        <f t="shared" ref="J265:J266" si="115">F265+G265</f>
        <v>0</v>
      </c>
      <c r="K265" s="38">
        <f t="shared" ref="K265:K266" si="116">SUM(F265:H265)</f>
        <v>0</v>
      </c>
      <c r="L265" s="17" t="s">
        <v>199</v>
      </c>
    </row>
    <row r="266" spans="2:12" ht="15.75" hidden="1" outlineLevel="1" x14ac:dyDescent="0.3">
      <c r="B266" s="17"/>
      <c r="C266" s="17"/>
      <c r="D266" s="17" t="s">
        <v>187</v>
      </c>
      <c r="E266" s="17"/>
      <c r="F266" s="44">
        <f>IF(NOT(ISBLANK('Referenz Pflasterwerk'!$I70)),'Referenz Pflasterwerk'!$I70,'Referenz Pflasterwerk'!$F70)*IF(NOT(ISBLANK('Eingabe EF'!$AS55)),'Eingabe EF'!$AS55,0)</f>
        <v>0</v>
      </c>
      <c r="G266" s="44">
        <f>IF(NOT(ISBLANK('Referenz Pflasterwerk'!$I70)),'Referenz Pflasterwerk'!$I70,'Referenz Pflasterwerk'!$F70)*IF(NOT(ISBLANK('Eingabe EF'!$AW55)),'Eingabe EF'!$AW55,0)</f>
        <v>0</v>
      </c>
      <c r="H266" s="44">
        <f>IF(NOT(ISBLANK('Referenz Pflasterwerk'!$I70)),'Referenz Pflasterwerk'!$I70,'Referenz Pflasterwerk'!$F70)*IF(NOT(ISBLANK('Eingabe EF'!$BA55)),'Eingabe EF'!$BA55,0)</f>
        <v>0</v>
      </c>
      <c r="I266" s="17"/>
      <c r="J266" s="38">
        <f t="shared" si="115"/>
        <v>0</v>
      </c>
      <c r="K266" s="38">
        <f t="shared" si="116"/>
        <v>0</v>
      </c>
      <c r="L266" s="17" t="s">
        <v>199</v>
      </c>
    </row>
    <row r="267" spans="2:12" hidden="1" outlineLevel="1" x14ac:dyDescent="0.2">
      <c r="B267" s="17"/>
      <c r="C267" s="17"/>
      <c r="D267" s="17"/>
      <c r="E267" s="17"/>
      <c r="F267" s="17"/>
      <c r="G267" s="17"/>
      <c r="H267" s="17"/>
      <c r="I267" s="17"/>
      <c r="J267" s="17"/>
      <c r="K267" s="17"/>
      <c r="L267" s="20"/>
    </row>
    <row r="268" spans="2:12" ht="14.25" hidden="1" outlineLevel="1" x14ac:dyDescent="0.25">
      <c r="B268" s="17"/>
      <c r="C268" s="17"/>
      <c r="D268" s="21" t="s">
        <v>64</v>
      </c>
      <c r="E268" s="21"/>
      <c r="F268" s="75">
        <f>IF(NOT(ISBLANK('Referenz Pflasterwerk'!$I72)),'Referenz Pflasterwerk'!$I72,'Referenz Pflasterwerk'!$F72)*IF(NOT(ISBLANK('Eingabe EF'!$AS57)),'Eingabe EF'!$AS57,'Eingabe EF'!$AQ57)</f>
        <v>0</v>
      </c>
      <c r="G268" s="75">
        <f>IF(NOT(ISBLANK('Referenz Pflasterwerk'!$I72)),'Referenz Pflasterwerk'!$I72,'Referenz Pflasterwerk'!$F72)*IF(NOT(ISBLANK('Eingabe EF'!$AW57)),'Eingabe EF'!$AW57,'Eingabe EF'!$AU57)</f>
        <v>0</v>
      </c>
      <c r="H268" s="75">
        <f>IF(NOT(ISBLANK('Referenz Pflasterwerk'!$I72)),'Referenz Pflasterwerk'!$I72,'Referenz Pflasterwerk'!$F72)*IF(NOT(ISBLANK('Eingabe EF'!$BA57)),'Eingabe EF'!$BA57,'Eingabe EF'!$AY57)</f>
        <v>161.20000000000002</v>
      </c>
      <c r="I268" s="21"/>
      <c r="J268" s="74">
        <f t="shared" ref="J268" si="117">F268+G268</f>
        <v>0</v>
      </c>
      <c r="K268" s="74">
        <f t="shared" ref="K268" si="118">SUM(F268:H268)</f>
        <v>161.20000000000002</v>
      </c>
      <c r="L268" s="21" t="s">
        <v>198</v>
      </c>
    </row>
    <row r="269" spans="2:12" hidden="1" outlineLevel="1" x14ac:dyDescent="0.2">
      <c r="B269" s="17"/>
      <c r="C269" s="17"/>
      <c r="D269" s="17"/>
      <c r="E269" s="17"/>
      <c r="F269" s="20"/>
      <c r="G269" s="20"/>
      <c r="H269" s="20"/>
      <c r="I269" s="17"/>
      <c r="J269" s="17"/>
      <c r="K269" s="20"/>
      <c r="L269" s="20"/>
    </row>
    <row r="270" spans="2:12" ht="15" hidden="1" outlineLevel="1" thickBot="1" x14ac:dyDescent="0.3">
      <c r="B270" s="17"/>
      <c r="C270" s="17"/>
      <c r="D270" s="67" t="s">
        <v>70</v>
      </c>
      <c r="E270" s="67"/>
      <c r="F270" s="68">
        <f>SUM(F213:F268)-F227-F231-F237-F244-F249-F258-F263</f>
        <v>105.94629215999998</v>
      </c>
      <c r="G270" s="68">
        <f t="shared" ref="G270:H270" si="119">SUM(G213:G268)-G227-G231-G237-G244-G249-G258-G263</f>
        <v>96.432335925573213</v>
      </c>
      <c r="H270" s="68">
        <f t="shared" si="119"/>
        <v>10492.651247364784</v>
      </c>
      <c r="I270" s="21"/>
      <c r="J270" s="68">
        <f t="shared" ref="J270:K270" si="120">SUM(J213:J268)-J227-J231-J237-J244-J249-J258-J263</f>
        <v>202.37862808557318</v>
      </c>
      <c r="K270" s="68">
        <f t="shared" si="120"/>
        <v>10695.029875450358</v>
      </c>
      <c r="L270" s="68" t="s">
        <v>198</v>
      </c>
    </row>
    <row r="271" spans="2:12" ht="13.5" hidden="1" outlineLevel="1" thickTop="1" x14ac:dyDescent="0.2">
      <c r="B271" s="17"/>
      <c r="C271" s="17"/>
      <c r="D271" s="17"/>
      <c r="E271" s="17"/>
      <c r="F271" s="20"/>
      <c r="G271" s="20"/>
      <c r="H271" s="20"/>
      <c r="I271" s="17"/>
      <c r="J271" s="17"/>
      <c r="K271" s="20"/>
      <c r="L271" s="20"/>
    </row>
    <row r="272" spans="2:12" collapsed="1" x14ac:dyDescent="0.2"/>
  </sheetData>
  <sheetProtection algorithmName="SHA-512" hashValue="aPRqjPzfeSddqRqoSTaySpf+xK/Bu7dU44JxmCwSmJUP4YrqGYKX5JJX0Oj1jhIMdv2OxH0RkiBKCkC2V4YLBA==" saltValue="9vGuQEDnVOUibbgVXqXZlA==" spinCount="100000" sheet="1" selectLockedCells="1"/>
  <protectedRanges>
    <protectedRange sqref="B34:AA103" name="Bereich1"/>
  </protectedRanges>
  <mergeCells count="6">
    <mergeCell ref="D6:L6"/>
    <mergeCell ref="C70:C71"/>
    <mergeCell ref="S70:S71"/>
    <mergeCell ref="K79:K80"/>
    <mergeCell ref="E13:G13"/>
    <mergeCell ref="I13:K13"/>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30722" r:id="rId4" name="Check Box 2">
              <controlPr defaultSize="0" autoFill="0" autoLine="0" autoPict="0">
                <anchor moveWithCells="1">
                  <from>
                    <xdr:col>2</xdr:col>
                    <xdr:colOff>523875</xdr:colOff>
                    <xdr:row>72</xdr:row>
                    <xdr:rowOff>28575</xdr:rowOff>
                  </from>
                  <to>
                    <xdr:col>2</xdr:col>
                    <xdr:colOff>704850</xdr:colOff>
                    <xdr:row>72</xdr:row>
                    <xdr:rowOff>190500</xdr:rowOff>
                  </to>
                </anchor>
              </controlPr>
            </control>
          </mc:Choice>
        </mc:AlternateContent>
        <mc:AlternateContent xmlns:mc="http://schemas.openxmlformats.org/markup-compatibility/2006">
          <mc:Choice Requires="x14">
            <control shapeId="30723" r:id="rId5" name="Check Box 3">
              <controlPr defaultSize="0" autoFill="0" autoLine="0" autoPict="0">
                <anchor moveWithCells="1">
                  <from>
                    <xdr:col>2</xdr:col>
                    <xdr:colOff>523875</xdr:colOff>
                    <xdr:row>73</xdr:row>
                    <xdr:rowOff>28575</xdr:rowOff>
                  </from>
                  <to>
                    <xdr:col>2</xdr:col>
                    <xdr:colOff>704850</xdr:colOff>
                    <xdr:row>73</xdr:row>
                    <xdr:rowOff>180975</xdr:rowOff>
                  </to>
                </anchor>
              </controlPr>
            </control>
          </mc:Choice>
        </mc:AlternateContent>
        <mc:AlternateContent xmlns:mc="http://schemas.openxmlformats.org/markup-compatibility/2006">
          <mc:Choice Requires="x14">
            <control shapeId="30724" r:id="rId6" name="Check Box 4">
              <controlPr defaultSize="0" autoFill="0" autoLine="0" autoPict="0">
                <anchor moveWithCells="1">
                  <from>
                    <xdr:col>2</xdr:col>
                    <xdr:colOff>523875</xdr:colOff>
                    <xdr:row>74</xdr:row>
                    <xdr:rowOff>19050</xdr:rowOff>
                  </from>
                  <to>
                    <xdr:col>2</xdr:col>
                    <xdr:colOff>704850</xdr:colOff>
                    <xdr:row>74</xdr:row>
                    <xdr:rowOff>190500</xdr:rowOff>
                  </to>
                </anchor>
              </controlPr>
            </control>
          </mc:Choice>
        </mc:AlternateContent>
        <mc:AlternateContent xmlns:mc="http://schemas.openxmlformats.org/markup-compatibility/2006">
          <mc:Choice Requires="x14">
            <control shapeId="30725" r:id="rId7" name="Check Box 5">
              <controlPr defaultSize="0" autoFill="0" autoLine="0" autoPict="0">
                <anchor moveWithCells="1">
                  <from>
                    <xdr:col>2</xdr:col>
                    <xdr:colOff>523875</xdr:colOff>
                    <xdr:row>75</xdr:row>
                    <xdr:rowOff>19050</xdr:rowOff>
                  </from>
                  <to>
                    <xdr:col>2</xdr:col>
                    <xdr:colOff>704850</xdr:colOff>
                    <xdr:row>75</xdr:row>
                    <xdr:rowOff>180975</xdr:rowOff>
                  </to>
                </anchor>
              </controlPr>
            </control>
          </mc:Choice>
        </mc:AlternateContent>
        <mc:AlternateContent xmlns:mc="http://schemas.openxmlformats.org/markup-compatibility/2006">
          <mc:Choice Requires="x14">
            <control shapeId="30726" r:id="rId8" name="Check Box 6">
              <controlPr defaultSize="0" autoFill="0" autoLine="0" autoPict="0">
                <anchor moveWithCells="1">
                  <from>
                    <xdr:col>2</xdr:col>
                    <xdr:colOff>523875</xdr:colOff>
                    <xdr:row>76</xdr:row>
                    <xdr:rowOff>0</xdr:rowOff>
                  </from>
                  <to>
                    <xdr:col>2</xdr:col>
                    <xdr:colOff>704850</xdr:colOff>
                    <xdr:row>76</xdr:row>
                    <xdr:rowOff>180975</xdr:rowOff>
                  </to>
                </anchor>
              </controlPr>
            </control>
          </mc:Choice>
        </mc:AlternateContent>
        <mc:AlternateContent xmlns:mc="http://schemas.openxmlformats.org/markup-compatibility/2006">
          <mc:Choice Requires="x14">
            <control shapeId="30727" r:id="rId9" name="Check Box 7">
              <controlPr defaultSize="0" autoFill="0" autoLine="0" autoPict="0">
                <anchor moveWithCells="1">
                  <from>
                    <xdr:col>2</xdr:col>
                    <xdr:colOff>523875</xdr:colOff>
                    <xdr:row>77</xdr:row>
                    <xdr:rowOff>9525</xdr:rowOff>
                  </from>
                  <to>
                    <xdr:col>2</xdr:col>
                    <xdr:colOff>704850</xdr:colOff>
                    <xdr:row>77</xdr:row>
                    <xdr:rowOff>190500</xdr:rowOff>
                  </to>
                </anchor>
              </controlPr>
            </control>
          </mc:Choice>
        </mc:AlternateContent>
        <mc:AlternateContent xmlns:mc="http://schemas.openxmlformats.org/markup-compatibility/2006">
          <mc:Choice Requires="x14">
            <control shapeId="30741" r:id="rId10" name="Check Box 21">
              <controlPr defaultSize="0" autoFill="0" autoLine="0" autoPict="0">
                <anchor moveWithCells="1">
                  <from>
                    <xdr:col>18</xdr:col>
                    <xdr:colOff>457200</xdr:colOff>
                    <xdr:row>82</xdr:row>
                    <xdr:rowOff>0</xdr:rowOff>
                  </from>
                  <to>
                    <xdr:col>18</xdr:col>
                    <xdr:colOff>666750</xdr:colOff>
                    <xdr:row>82</xdr:row>
                    <xdr:rowOff>180975</xdr:rowOff>
                  </to>
                </anchor>
              </controlPr>
            </control>
          </mc:Choice>
        </mc:AlternateContent>
        <mc:AlternateContent xmlns:mc="http://schemas.openxmlformats.org/markup-compatibility/2006">
          <mc:Choice Requires="x14">
            <control shapeId="30742" r:id="rId11" name="Check Box 22">
              <controlPr defaultSize="0" autoFill="0" autoLine="0" autoPict="0">
                <anchor moveWithCells="1">
                  <from>
                    <xdr:col>18</xdr:col>
                    <xdr:colOff>571500</xdr:colOff>
                    <xdr:row>83</xdr:row>
                    <xdr:rowOff>19050</xdr:rowOff>
                  </from>
                  <to>
                    <xdr:col>19</xdr:col>
                    <xdr:colOff>0</xdr:colOff>
                    <xdr:row>84</xdr:row>
                    <xdr:rowOff>0</xdr:rowOff>
                  </to>
                </anchor>
              </controlPr>
            </control>
          </mc:Choice>
        </mc:AlternateContent>
        <mc:AlternateContent xmlns:mc="http://schemas.openxmlformats.org/markup-compatibility/2006">
          <mc:Choice Requires="x14">
            <control shapeId="30743" r:id="rId12" name="Check Box 23">
              <controlPr defaultSize="0" autoFill="0" autoLine="0" autoPict="0">
                <anchor moveWithCells="1">
                  <from>
                    <xdr:col>18</xdr:col>
                    <xdr:colOff>571500</xdr:colOff>
                    <xdr:row>84</xdr:row>
                    <xdr:rowOff>19050</xdr:rowOff>
                  </from>
                  <to>
                    <xdr:col>19</xdr:col>
                    <xdr:colOff>0</xdr:colOff>
                    <xdr:row>85</xdr:row>
                    <xdr:rowOff>0</xdr:rowOff>
                  </to>
                </anchor>
              </controlPr>
            </control>
          </mc:Choice>
        </mc:AlternateContent>
        <mc:AlternateContent xmlns:mc="http://schemas.openxmlformats.org/markup-compatibility/2006">
          <mc:Choice Requires="x14">
            <control shapeId="30744" r:id="rId13" name="Check Box 24">
              <controlPr defaultSize="0" autoFill="0" autoLine="0" autoPict="0">
                <anchor moveWithCells="1">
                  <from>
                    <xdr:col>18</xdr:col>
                    <xdr:colOff>571500</xdr:colOff>
                    <xdr:row>85</xdr:row>
                    <xdr:rowOff>9525</xdr:rowOff>
                  </from>
                  <to>
                    <xdr:col>19</xdr:col>
                    <xdr:colOff>0</xdr:colOff>
                    <xdr:row>85</xdr:row>
                    <xdr:rowOff>190500</xdr:rowOff>
                  </to>
                </anchor>
              </controlPr>
            </control>
          </mc:Choice>
        </mc:AlternateContent>
        <mc:AlternateContent xmlns:mc="http://schemas.openxmlformats.org/markup-compatibility/2006">
          <mc:Choice Requires="x14">
            <control shapeId="30745" r:id="rId14" name="Check Box 25">
              <controlPr defaultSize="0" autoFill="0" autoLine="0" autoPict="0">
                <anchor moveWithCells="1">
                  <from>
                    <xdr:col>18</xdr:col>
                    <xdr:colOff>457200</xdr:colOff>
                    <xdr:row>80</xdr:row>
                    <xdr:rowOff>9525</xdr:rowOff>
                  </from>
                  <to>
                    <xdr:col>18</xdr:col>
                    <xdr:colOff>666750</xdr:colOff>
                    <xdr:row>81</xdr:row>
                    <xdr:rowOff>9525</xdr:rowOff>
                  </to>
                </anchor>
              </controlPr>
            </control>
          </mc:Choice>
        </mc:AlternateContent>
        <mc:AlternateContent xmlns:mc="http://schemas.openxmlformats.org/markup-compatibility/2006">
          <mc:Choice Requires="x14">
            <control shapeId="30746" r:id="rId15" name="Check Box 26">
              <controlPr defaultSize="0" autoFill="0" autoLine="0" autoPict="0">
                <anchor moveWithCells="1">
                  <from>
                    <xdr:col>18</xdr:col>
                    <xdr:colOff>457200</xdr:colOff>
                    <xdr:row>79</xdr:row>
                    <xdr:rowOff>0</xdr:rowOff>
                  </from>
                  <to>
                    <xdr:col>18</xdr:col>
                    <xdr:colOff>666750</xdr:colOff>
                    <xdr:row>80</xdr:row>
                    <xdr:rowOff>9525</xdr:rowOff>
                  </to>
                </anchor>
              </controlPr>
            </control>
          </mc:Choice>
        </mc:AlternateContent>
        <mc:AlternateContent xmlns:mc="http://schemas.openxmlformats.org/markup-compatibility/2006">
          <mc:Choice Requires="x14">
            <control shapeId="30747" r:id="rId16" name="Check Box 27">
              <controlPr defaultSize="0" autoFill="0" autoLine="0" autoPict="0">
                <anchor moveWithCells="1">
                  <from>
                    <xdr:col>18</xdr:col>
                    <xdr:colOff>457200</xdr:colOff>
                    <xdr:row>81</xdr:row>
                    <xdr:rowOff>9525</xdr:rowOff>
                  </from>
                  <to>
                    <xdr:col>18</xdr:col>
                    <xdr:colOff>666750</xdr:colOff>
                    <xdr:row>82</xdr:row>
                    <xdr:rowOff>0</xdr:rowOff>
                  </to>
                </anchor>
              </controlPr>
            </control>
          </mc:Choice>
        </mc:AlternateContent>
        <mc:AlternateContent xmlns:mc="http://schemas.openxmlformats.org/markup-compatibility/2006">
          <mc:Choice Requires="x14">
            <control shapeId="30721" r:id="rId17" name="Check Box 1">
              <controlPr defaultSize="0" autoFill="0" autoLine="0" autoPict="0">
                <anchor moveWithCells="1">
                  <from>
                    <xdr:col>2</xdr:col>
                    <xdr:colOff>523875</xdr:colOff>
                    <xdr:row>71</xdr:row>
                    <xdr:rowOff>28575</xdr:rowOff>
                  </from>
                  <to>
                    <xdr:col>2</xdr:col>
                    <xdr:colOff>704850</xdr:colOff>
                    <xdr:row>72</xdr:row>
                    <xdr:rowOff>0</xdr:rowOff>
                  </to>
                </anchor>
              </controlPr>
            </control>
          </mc:Choice>
        </mc:AlternateContent>
        <mc:AlternateContent xmlns:mc="http://schemas.openxmlformats.org/markup-compatibility/2006">
          <mc:Choice Requires="x14">
            <control shapeId="30748" r:id="rId18" name="Check Box 28">
              <controlPr defaultSize="0" autoFill="0" autoLine="0" autoPict="0">
                <anchor moveWithCells="1">
                  <from>
                    <xdr:col>10</xdr:col>
                    <xdr:colOff>514350</xdr:colOff>
                    <xdr:row>79</xdr:row>
                    <xdr:rowOff>152400</xdr:rowOff>
                  </from>
                  <to>
                    <xdr:col>10</xdr:col>
                    <xdr:colOff>723900</xdr:colOff>
                    <xdr:row>81</xdr:row>
                    <xdr:rowOff>0</xdr:rowOff>
                  </to>
                </anchor>
              </controlPr>
            </control>
          </mc:Choice>
        </mc:AlternateContent>
        <mc:AlternateContent xmlns:mc="http://schemas.openxmlformats.org/markup-compatibility/2006">
          <mc:Choice Requires="x14">
            <control shapeId="30749" r:id="rId19" name="Check Box 29">
              <controlPr defaultSize="0" autoFill="0" autoLine="0" autoPict="0">
                <anchor moveWithCells="1">
                  <from>
                    <xdr:col>10</xdr:col>
                    <xdr:colOff>514350</xdr:colOff>
                    <xdr:row>80</xdr:row>
                    <xdr:rowOff>171450</xdr:rowOff>
                  </from>
                  <to>
                    <xdr:col>10</xdr:col>
                    <xdr:colOff>723900</xdr:colOff>
                    <xdr:row>81</xdr:row>
                    <xdr:rowOff>190500</xdr:rowOff>
                  </to>
                </anchor>
              </controlPr>
            </control>
          </mc:Choice>
        </mc:AlternateContent>
        <mc:AlternateContent xmlns:mc="http://schemas.openxmlformats.org/markup-compatibility/2006">
          <mc:Choice Requires="x14">
            <control shapeId="30750" r:id="rId20" name="Check Box 30">
              <controlPr defaultSize="0" autoFill="0" autoLine="0" autoPict="0">
                <anchor moveWithCells="1">
                  <from>
                    <xdr:col>10</xdr:col>
                    <xdr:colOff>514350</xdr:colOff>
                    <xdr:row>81</xdr:row>
                    <xdr:rowOff>180975</xdr:rowOff>
                  </from>
                  <to>
                    <xdr:col>10</xdr:col>
                    <xdr:colOff>723900</xdr:colOff>
                    <xdr:row>82</xdr:row>
                    <xdr:rowOff>190500</xdr:rowOff>
                  </to>
                </anchor>
              </controlPr>
            </control>
          </mc:Choice>
        </mc:AlternateContent>
        <mc:AlternateContent xmlns:mc="http://schemas.openxmlformats.org/markup-compatibility/2006">
          <mc:Choice Requires="x14">
            <control shapeId="30751" r:id="rId21" name="Check Box 31">
              <controlPr defaultSize="0" autoFill="0" autoLine="0" autoPict="0">
                <anchor moveWithCells="1">
                  <from>
                    <xdr:col>10</xdr:col>
                    <xdr:colOff>514350</xdr:colOff>
                    <xdr:row>82</xdr:row>
                    <xdr:rowOff>180975</xdr:rowOff>
                  </from>
                  <to>
                    <xdr:col>10</xdr:col>
                    <xdr:colOff>723900</xdr:colOff>
                    <xdr:row>84</xdr:row>
                    <xdr:rowOff>0</xdr:rowOff>
                  </to>
                </anchor>
              </controlPr>
            </control>
          </mc:Choice>
        </mc:AlternateContent>
        <mc:AlternateContent xmlns:mc="http://schemas.openxmlformats.org/markup-compatibility/2006">
          <mc:Choice Requires="x14">
            <control shapeId="30752" r:id="rId22" name="Check Box 32">
              <controlPr defaultSize="0" autoFill="0" autoLine="0" autoPict="0">
                <anchor moveWithCells="1">
                  <from>
                    <xdr:col>10</xdr:col>
                    <xdr:colOff>514350</xdr:colOff>
                    <xdr:row>83</xdr:row>
                    <xdr:rowOff>180975</xdr:rowOff>
                  </from>
                  <to>
                    <xdr:col>10</xdr:col>
                    <xdr:colOff>723900</xdr:colOff>
                    <xdr:row>85</xdr:row>
                    <xdr:rowOff>0</xdr:rowOff>
                  </to>
                </anchor>
              </controlPr>
            </control>
          </mc:Choice>
        </mc:AlternateContent>
        <mc:AlternateContent xmlns:mc="http://schemas.openxmlformats.org/markup-compatibility/2006">
          <mc:Choice Requires="x14">
            <control shapeId="30753" r:id="rId23" name="Check Box 33">
              <controlPr defaultSize="0" autoFill="0" autoLine="0" autoPict="0">
                <anchor moveWithCells="1">
                  <from>
                    <xdr:col>10</xdr:col>
                    <xdr:colOff>514350</xdr:colOff>
                    <xdr:row>84</xdr:row>
                    <xdr:rowOff>180975</xdr:rowOff>
                  </from>
                  <to>
                    <xdr:col>10</xdr:col>
                    <xdr:colOff>723900</xdr:colOff>
                    <xdr:row>86</xdr:row>
                    <xdr:rowOff>0</xdr:rowOff>
                  </to>
                </anchor>
              </controlPr>
            </control>
          </mc:Choice>
        </mc:AlternateContent>
        <mc:AlternateContent xmlns:mc="http://schemas.openxmlformats.org/markup-compatibility/2006">
          <mc:Choice Requires="x14">
            <control shapeId="30754" r:id="rId24" name="Check Box 34">
              <controlPr defaultSize="0" autoFill="0" autoLine="0" autoPict="0">
                <anchor moveWithCells="1">
                  <from>
                    <xdr:col>10</xdr:col>
                    <xdr:colOff>514350</xdr:colOff>
                    <xdr:row>85</xdr:row>
                    <xdr:rowOff>180975</xdr:rowOff>
                  </from>
                  <to>
                    <xdr:col>10</xdr:col>
                    <xdr:colOff>723900</xdr:colOff>
                    <xdr:row>87</xdr:row>
                    <xdr:rowOff>0</xdr:rowOff>
                  </to>
                </anchor>
              </controlPr>
            </control>
          </mc:Choice>
        </mc:AlternateContent>
        <mc:AlternateContent xmlns:mc="http://schemas.openxmlformats.org/markup-compatibility/2006">
          <mc:Choice Requires="x14">
            <control shapeId="30755" r:id="rId25" name="Check Box 35">
              <controlPr defaultSize="0" autoFill="0" autoLine="0" autoPict="0">
                <anchor moveWithCells="1">
                  <from>
                    <xdr:col>10</xdr:col>
                    <xdr:colOff>514350</xdr:colOff>
                    <xdr:row>86</xdr:row>
                    <xdr:rowOff>190500</xdr:rowOff>
                  </from>
                  <to>
                    <xdr:col>10</xdr:col>
                    <xdr:colOff>723900</xdr:colOff>
                    <xdr:row>87</xdr:row>
                    <xdr:rowOff>190500</xdr:rowOff>
                  </to>
                </anchor>
              </controlPr>
            </control>
          </mc:Choice>
        </mc:AlternateContent>
        <mc:AlternateContent xmlns:mc="http://schemas.openxmlformats.org/markup-compatibility/2006">
          <mc:Choice Requires="x14">
            <control shapeId="30756" r:id="rId26" name="Check Box 36">
              <controlPr defaultSize="0" autoFill="0" autoLine="0" autoPict="0">
                <anchor moveWithCells="1">
                  <from>
                    <xdr:col>10</xdr:col>
                    <xdr:colOff>514350</xdr:colOff>
                    <xdr:row>87</xdr:row>
                    <xdr:rowOff>180975</xdr:rowOff>
                  </from>
                  <to>
                    <xdr:col>10</xdr:col>
                    <xdr:colOff>723900</xdr:colOff>
                    <xdr:row>88</xdr:row>
                    <xdr:rowOff>190500</xdr:rowOff>
                  </to>
                </anchor>
              </controlPr>
            </control>
          </mc:Choice>
        </mc:AlternateContent>
        <mc:AlternateContent xmlns:mc="http://schemas.openxmlformats.org/markup-compatibility/2006">
          <mc:Choice Requires="x14">
            <control shapeId="30757" r:id="rId27" name="Check Box 37">
              <controlPr defaultSize="0" autoFill="0" autoLine="0" autoPict="0">
                <anchor moveWithCells="1">
                  <from>
                    <xdr:col>10</xdr:col>
                    <xdr:colOff>514350</xdr:colOff>
                    <xdr:row>88</xdr:row>
                    <xdr:rowOff>171450</xdr:rowOff>
                  </from>
                  <to>
                    <xdr:col>10</xdr:col>
                    <xdr:colOff>723900</xdr:colOff>
                    <xdr:row>89</xdr:row>
                    <xdr:rowOff>180975</xdr:rowOff>
                  </to>
                </anchor>
              </controlPr>
            </control>
          </mc:Choice>
        </mc:AlternateContent>
        <mc:AlternateContent xmlns:mc="http://schemas.openxmlformats.org/markup-compatibility/2006">
          <mc:Choice Requires="x14">
            <control shapeId="30758" r:id="rId28" name="Check Box 38">
              <controlPr defaultSize="0" autoFill="0" autoLine="0" autoPict="0">
                <anchor moveWithCells="1">
                  <from>
                    <xdr:col>10</xdr:col>
                    <xdr:colOff>514350</xdr:colOff>
                    <xdr:row>89</xdr:row>
                    <xdr:rowOff>171450</xdr:rowOff>
                  </from>
                  <to>
                    <xdr:col>10</xdr:col>
                    <xdr:colOff>723900</xdr:colOff>
                    <xdr:row>90</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7EA3A-0D7B-4401-A341-F7435986211A}">
  <sheetPr>
    <pageSetUpPr fitToPage="1"/>
  </sheetPr>
  <dimension ref="B2:AA281"/>
  <sheetViews>
    <sheetView zoomScale="90" zoomScaleNormal="90" workbookViewId="0">
      <selection activeCell="G16" sqref="G16"/>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3" x14ac:dyDescent="0.2">
      <c r="B2" s="3"/>
      <c r="C2" s="89"/>
      <c r="D2" s="89"/>
      <c r="E2" s="89"/>
      <c r="F2" s="89"/>
      <c r="G2" s="89"/>
      <c r="H2" s="89"/>
      <c r="I2" s="89"/>
      <c r="J2" s="89"/>
      <c r="K2" s="89"/>
      <c r="L2" s="89"/>
      <c r="M2" s="3"/>
    </row>
    <row r="3" spans="2:13" ht="18" x14ac:dyDescent="0.25">
      <c r="B3" s="3"/>
      <c r="C3" s="89"/>
      <c r="D3" s="90" t="s">
        <v>212</v>
      </c>
      <c r="E3" s="89"/>
      <c r="F3" s="89"/>
      <c r="G3" s="89"/>
      <c r="H3" s="89"/>
      <c r="I3" s="89"/>
      <c r="J3" s="89"/>
      <c r="K3" s="89"/>
      <c r="L3" s="89"/>
      <c r="M3" s="3"/>
    </row>
    <row r="4" spans="2:13" x14ac:dyDescent="0.2">
      <c r="B4" s="3"/>
      <c r="C4" s="89"/>
      <c r="D4" s="3"/>
      <c r="E4" s="3"/>
      <c r="F4" s="3"/>
      <c r="G4" s="3"/>
      <c r="H4" s="3"/>
      <c r="I4" s="3"/>
      <c r="J4" s="3"/>
      <c r="K4" s="3"/>
      <c r="L4" s="3"/>
      <c r="M4" s="3"/>
    </row>
    <row r="5" spans="2:13" ht="17.25" customHeight="1" x14ac:dyDescent="0.2">
      <c r="B5" s="3"/>
      <c r="C5" s="89"/>
      <c r="D5" s="103" t="s">
        <v>328</v>
      </c>
      <c r="E5" s="103"/>
      <c r="F5" s="103"/>
      <c r="G5" s="103"/>
      <c r="H5" s="103"/>
      <c r="I5" s="103"/>
      <c r="J5" s="103"/>
      <c r="K5" s="103"/>
      <c r="L5" s="103"/>
      <c r="M5" s="3"/>
    </row>
    <row r="6" spans="2:13" ht="168" customHeight="1" x14ac:dyDescent="0.2">
      <c r="B6" s="3"/>
      <c r="C6" s="93"/>
      <c r="D6" s="386" t="s">
        <v>464</v>
      </c>
      <c r="E6" s="386"/>
      <c r="F6" s="386"/>
      <c r="G6" s="386"/>
      <c r="H6" s="386"/>
      <c r="I6" s="386"/>
      <c r="J6" s="386"/>
      <c r="K6" s="386"/>
      <c r="L6" s="386"/>
      <c r="M6" s="3"/>
    </row>
    <row r="7" spans="2:13" x14ac:dyDescent="0.2">
      <c r="B7" s="3"/>
      <c r="C7" s="89"/>
      <c r="D7" s="89"/>
      <c r="E7" s="89"/>
      <c r="F7" s="89"/>
      <c r="G7" s="89"/>
      <c r="H7" s="89"/>
      <c r="I7" s="89"/>
      <c r="J7" s="89"/>
      <c r="K7" s="89"/>
      <c r="L7" s="89"/>
      <c r="M7" s="3"/>
    </row>
    <row r="9" spans="2:13" x14ac:dyDescent="0.2">
      <c r="B9" s="3"/>
      <c r="C9" s="3"/>
      <c r="D9" s="3"/>
      <c r="E9" s="3"/>
      <c r="F9" s="3"/>
      <c r="G9" s="3"/>
      <c r="H9" s="3"/>
      <c r="I9" s="3"/>
      <c r="J9" s="3"/>
      <c r="K9" s="3"/>
      <c r="L9" s="3"/>
      <c r="M9" s="3"/>
    </row>
    <row r="10" spans="2:13" x14ac:dyDescent="0.2">
      <c r="B10" s="3"/>
      <c r="C10" s="3"/>
      <c r="D10" s="3"/>
      <c r="E10" s="3"/>
      <c r="F10" s="3"/>
      <c r="G10" s="3"/>
      <c r="H10" s="3"/>
      <c r="I10" s="3"/>
      <c r="J10" s="3"/>
      <c r="K10" s="3"/>
      <c r="L10" s="3"/>
      <c r="M10" s="3"/>
    </row>
    <row r="11" spans="2:13" ht="18" x14ac:dyDescent="0.25">
      <c r="B11" s="3"/>
      <c r="C11" s="3"/>
      <c r="D11" s="85" t="s">
        <v>273</v>
      </c>
      <c r="E11" s="94"/>
      <c r="F11" s="95"/>
      <c r="G11" s="7"/>
      <c r="H11" s="7"/>
      <c r="I11" s="7"/>
      <c r="J11" s="7"/>
      <c r="K11" s="7"/>
      <c r="L11" s="3"/>
      <c r="M11" s="3"/>
    </row>
    <row r="12" spans="2:13" ht="18" x14ac:dyDescent="0.25">
      <c r="B12" s="3"/>
      <c r="C12" s="3"/>
      <c r="D12" s="85"/>
      <c r="E12" s="94"/>
      <c r="F12" s="95"/>
      <c r="G12" s="7"/>
      <c r="H12" s="7"/>
      <c r="I12" s="7"/>
      <c r="J12" s="7"/>
      <c r="K12" s="7"/>
      <c r="L12" s="3"/>
      <c r="M12" s="3"/>
    </row>
    <row r="13" spans="2:13" ht="15.75" x14ac:dyDescent="0.25">
      <c r="B13" s="3"/>
      <c r="C13" s="3"/>
      <c r="D13" s="85"/>
      <c r="E13" s="388">
        <v>2020</v>
      </c>
      <c r="F13" s="388"/>
      <c r="G13" s="388"/>
      <c r="H13" s="7"/>
      <c r="I13" s="7"/>
      <c r="J13" s="7"/>
      <c r="K13" s="7"/>
      <c r="L13" s="3"/>
      <c r="M13" s="3"/>
    </row>
    <row r="14" spans="2:13" ht="14.25" x14ac:dyDescent="0.2">
      <c r="B14" s="3"/>
      <c r="C14" s="3"/>
      <c r="D14" s="3"/>
      <c r="E14" s="101" t="s">
        <v>83</v>
      </c>
      <c r="F14" s="139"/>
      <c r="G14" s="101" t="s">
        <v>80</v>
      </c>
      <c r="H14" s="7"/>
      <c r="I14" s="7"/>
      <c r="J14" s="7"/>
      <c r="K14" s="7"/>
      <c r="L14" s="3"/>
      <c r="M14" s="3"/>
    </row>
    <row r="15" spans="2:13" ht="14.25" x14ac:dyDescent="0.2">
      <c r="B15" s="3"/>
      <c r="C15" s="3"/>
      <c r="D15" s="3"/>
      <c r="E15" s="13"/>
      <c r="F15" s="3"/>
      <c r="G15" s="13"/>
      <c r="H15" s="7"/>
      <c r="I15" s="7"/>
      <c r="J15" s="7"/>
      <c r="K15" s="7"/>
      <c r="L15" s="3"/>
      <c r="M15" s="3"/>
    </row>
    <row r="16" spans="2:13" ht="14.25" x14ac:dyDescent="0.2">
      <c r="B16" s="3"/>
      <c r="C16" s="3"/>
      <c r="D16" s="11" t="s">
        <v>274</v>
      </c>
      <c r="E16" s="3">
        <v>10</v>
      </c>
      <c r="F16" s="3"/>
      <c r="G16" s="116"/>
      <c r="H16" s="7"/>
      <c r="I16" s="7"/>
      <c r="J16" s="191" t="s">
        <v>221</v>
      </c>
      <c r="K16" s="3">
        <v>42.8</v>
      </c>
      <c r="L16" s="3" t="s">
        <v>309</v>
      </c>
      <c r="M16" s="3"/>
    </row>
    <row r="17" spans="2:13" ht="14.25" x14ac:dyDescent="0.2">
      <c r="B17" s="3"/>
      <c r="C17" s="3"/>
      <c r="D17" s="11" t="s">
        <v>217</v>
      </c>
      <c r="E17" s="9">
        <f>IF(NOT(ISBLANK('Referenz Pflasterwerk'!I28)),'Referenz Pflasterwerk'!I28,'Referenz Pflasterwerk'!F28)/IF(NOT(ISBLANK(G16)),G16,E16)</f>
        <v>3200</v>
      </c>
      <c r="F17" s="3" t="s">
        <v>218</v>
      </c>
      <c r="G17" s="3"/>
      <c r="H17" s="3"/>
      <c r="I17" s="7"/>
      <c r="J17" s="191" t="s">
        <v>310</v>
      </c>
      <c r="K17" s="3">
        <v>0.84499999999999997</v>
      </c>
      <c r="L17" s="3" t="s">
        <v>308</v>
      </c>
      <c r="M17" s="3"/>
    </row>
    <row r="18" spans="2:13" ht="14.25" x14ac:dyDescent="0.2">
      <c r="B18" s="3"/>
      <c r="C18" s="3"/>
      <c r="D18" s="3"/>
      <c r="E18" s="9">
        <f>E17/1000*K17*K16/0.0036</f>
        <v>32147.555555555558</v>
      </c>
      <c r="F18" s="3" t="s">
        <v>220</v>
      </c>
      <c r="G18" s="9"/>
      <c r="H18" s="9"/>
      <c r="I18" s="7"/>
      <c r="J18" s="7"/>
      <c r="K18" s="7"/>
      <c r="L18" s="7"/>
      <c r="M18" s="3"/>
    </row>
    <row r="19" spans="2:13" ht="14.25" x14ac:dyDescent="0.2">
      <c r="B19" s="3"/>
      <c r="C19" s="3"/>
      <c r="D19" s="3"/>
      <c r="E19" s="3"/>
      <c r="F19" s="3"/>
      <c r="G19" s="3"/>
      <c r="H19" s="7"/>
      <c r="I19" s="7"/>
      <c r="J19" s="7"/>
      <c r="K19" s="7"/>
      <c r="L19" s="3"/>
      <c r="M19" s="3"/>
    </row>
    <row r="20" spans="2:13" ht="14.25" customHeight="1" x14ac:dyDescent="0.2">
      <c r="B20" s="3"/>
      <c r="C20" s="3"/>
      <c r="D20" s="8"/>
      <c r="E20" s="388">
        <v>2025</v>
      </c>
      <c r="F20" s="388"/>
      <c r="G20" s="388"/>
      <c r="H20" s="13"/>
      <c r="I20" s="388">
        <v>2030</v>
      </c>
      <c r="J20" s="388"/>
      <c r="K20" s="388"/>
      <c r="L20" s="8"/>
      <c r="M20" s="3"/>
    </row>
    <row r="21" spans="2:13" x14ac:dyDescent="0.2">
      <c r="B21" s="3"/>
      <c r="C21" s="3"/>
      <c r="D21" s="8"/>
      <c r="E21" s="101" t="s">
        <v>83</v>
      </c>
      <c r="F21" s="101"/>
      <c r="G21" s="101" t="s">
        <v>80</v>
      </c>
      <c r="H21" s="13"/>
      <c r="I21" s="101" t="s">
        <v>83</v>
      </c>
      <c r="J21" s="101"/>
      <c r="K21" s="101" t="s">
        <v>80</v>
      </c>
      <c r="L21" s="8"/>
      <c r="M21" s="3"/>
    </row>
    <row r="22" spans="2:13" x14ac:dyDescent="0.2">
      <c r="B22" s="3"/>
      <c r="C22" s="3"/>
      <c r="D22" s="3"/>
      <c r="E22" s="3"/>
      <c r="F22" s="3"/>
      <c r="G22" s="3"/>
      <c r="H22" s="3"/>
      <c r="I22" s="3"/>
      <c r="J22" s="3"/>
      <c r="K22" s="3"/>
      <c r="L22" s="3"/>
      <c r="M22" s="3"/>
    </row>
    <row r="23" spans="2:13" x14ac:dyDescent="0.2">
      <c r="B23" s="3"/>
      <c r="C23" s="3"/>
      <c r="D23" s="11" t="s">
        <v>275</v>
      </c>
      <c r="E23" s="3">
        <v>5</v>
      </c>
      <c r="F23" s="3"/>
      <c r="G23" s="116"/>
      <c r="H23" s="3"/>
      <c r="I23" s="3">
        <v>10</v>
      </c>
      <c r="J23" s="3"/>
      <c r="K23" s="116"/>
      <c r="L23" s="3"/>
      <c r="M23" s="3"/>
    </row>
    <row r="24" spans="2:13" ht="25.5" x14ac:dyDescent="0.2">
      <c r="B24" s="3"/>
      <c r="C24" s="3"/>
      <c r="D24" s="11" t="s">
        <v>215</v>
      </c>
      <c r="E24" s="79">
        <v>75</v>
      </c>
      <c r="F24" s="15" t="s">
        <v>102</v>
      </c>
      <c r="G24" s="116"/>
      <c r="H24" s="15" t="s">
        <v>102</v>
      </c>
      <c r="I24" s="79">
        <v>75</v>
      </c>
      <c r="J24" s="15" t="s">
        <v>102</v>
      </c>
      <c r="K24" s="116"/>
      <c r="L24" s="15" t="s">
        <v>102</v>
      </c>
      <c r="M24" s="3"/>
    </row>
    <row r="25" spans="2:13" x14ac:dyDescent="0.2">
      <c r="B25" s="3"/>
      <c r="C25" s="3"/>
      <c r="D25" s="11" t="s">
        <v>219</v>
      </c>
      <c r="E25" s="9">
        <f>E18*IF(NOT(ISBLANK(G24)),G24/100,E24/100)</f>
        <v>24110.666666666668</v>
      </c>
      <c r="F25" s="3" t="s">
        <v>220</v>
      </c>
      <c r="G25" s="15"/>
      <c r="H25" s="15"/>
      <c r="I25" s="9">
        <f>E18*IF(NOT(ISBLANK(K24)),K24/100,I24/100)</f>
        <v>24110.666666666668</v>
      </c>
      <c r="J25" s="3" t="s">
        <v>220</v>
      </c>
      <c r="K25" s="15"/>
      <c r="L25" s="15"/>
      <c r="M25" s="3"/>
    </row>
    <row r="26" spans="2:13" x14ac:dyDescent="0.2">
      <c r="B26" s="3"/>
      <c r="C26" s="3"/>
      <c r="D26" s="8"/>
      <c r="E26" s="80"/>
      <c r="F26" s="15"/>
      <c r="G26" s="15"/>
      <c r="H26" s="15"/>
      <c r="I26" s="80"/>
      <c r="J26" s="15"/>
      <c r="K26" s="15"/>
      <c r="L26" s="3"/>
      <c r="M26" s="3"/>
    </row>
    <row r="27" spans="2:13" x14ac:dyDescent="0.2">
      <c r="B27" s="3"/>
      <c r="C27" s="3"/>
      <c r="D27" s="12" t="s">
        <v>214</v>
      </c>
      <c r="E27" s="79">
        <v>150000</v>
      </c>
      <c r="F27" s="15" t="s">
        <v>108</v>
      </c>
      <c r="G27" s="300"/>
      <c r="H27" s="15" t="s">
        <v>108</v>
      </c>
      <c r="I27" s="79">
        <v>150000</v>
      </c>
      <c r="J27" s="15" t="s">
        <v>108</v>
      </c>
      <c r="K27" s="300"/>
      <c r="L27" s="3" t="s">
        <v>108</v>
      </c>
      <c r="M27" s="3"/>
    </row>
    <row r="28" spans="2:13" ht="14.25" x14ac:dyDescent="0.2">
      <c r="B28" s="3"/>
      <c r="C28" s="3"/>
      <c r="D28" s="78" t="s">
        <v>227</v>
      </c>
      <c r="E28" s="79">
        <v>0</v>
      </c>
      <c r="F28" s="15" t="s">
        <v>109</v>
      </c>
      <c r="G28" s="300"/>
      <c r="H28" s="15" t="s">
        <v>109</v>
      </c>
      <c r="I28" s="79">
        <v>0</v>
      </c>
      <c r="J28" s="15" t="s">
        <v>109</v>
      </c>
      <c r="K28" s="300"/>
      <c r="L28" s="3" t="s">
        <v>109</v>
      </c>
      <c r="M28" s="3"/>
    </row>
    <row r="29" spans="2:13" ht="14.25" x14ac:dyDescent="0.2">
      <c r="B29" s="3"/>
      <c r="C29" s="3"/>
      <c r="D29" s="78" t="s">
        <v>192</v>
      </c>
      <c r="E29" s="79">
        <v>0</v>
      </c>
      <c r="F29" s="15" t="s">
        <v>108</v>
      </c>
      <c r="G29" s="300"/>
      <c r="H29" s="15" t="s">
        <v>108</v>
      </c>
      <c r="I29" s="79">
        <v>0</v>
      </c>
      <c r="J29" s="15" t="s">
        <v>108</v>
      </c>
      <c r="K29" s="300"/>
      <c r="L29" s="3" t="s">
        <v>108</v>
      </c>
      <c r="M29" s="3"/>
    </row>
    <row r="30" spans="2:13" x14ac:dyDescent="0.2">
      <c r="B30" s="3"/>
      <c r="C30" s="3"/>
      <c r="D30" s="78"/>
      <c r="E30" s="80"/>
      <c r="F30" s="15"/>
      <c r="G30" s="15"/>
      <c r="H30" s="15"/>
      <c r="I30" s="15"/>
      <c r="J30" s="15"/>
      <c r="K30" s="15"/>
      <c r="L30" s="3"/>
      <c r="M30" s="3"/>
    </row>
    <row r="31" spans="2:13" x14ac:dyDescent="0.2">
      <c r="B31" s="3"/>
      <c r="C31" s="3"/>
      <c r="D31" s="78"/>
      <c r="E31" s="15"/>
      <c r="F31" s="15"/>
      <c r="G31" s="15"/>
      <c r="H31" s="15"/>
      <c r="I31" s="15"/>
      <c r="J31" s="15"/>
      <c r="K31" s="15"/>
      <c r="L31" s="15"/>
      <c r="M31" s="3"/>
    </row>
    <row r="32" spans="2:13" x14ac:dyDescent="0.2">
      <c r="B32" s="3"/>
      <c r="C32" s="3"/>
      <c r="D32" s="78" t="s">
        <v>25</v>
      </c>
      <c r="E32" s="79">
        <v>10</v>
      </c>
      <c r="F32" s="15" t="s">
        <v>101</v>
      </c>
      <c r="G32" s="116"/>
      <c r="H32" s="15" t="s">
        <v>101</v>
      </c>
      <c r="I32" s="79">
        <v>10</v>
      </c>
      <c r="J32" s="15" t="s">
        <v>101</v>
      </c>
      <c r="K32" s="116"/>
      <c r="L32" s="15" t="s">
        <v>101</v>
      </c>
      <c r="M32" s="3"/>
    </row>
    <row r="33" spans="2:27" x14ac:dyDescent="0.2">
      <c r="B33" s="3"/>
      <c r="C33" s="3"/>
      <c r="D33" s="78" t="s">
        <v>26</v>
      </c>
      <c r="E33" s="81">
        <v>8</v>
      </c>
      <c r="F33" s="15" t="s">
        <v>102</v>
      </c>
      <c r="G33" s="301"/>
      <c r="H33" s="15" t="s">
        <v>102</v>
      </c>
      <c r="I33" s="81">
        <v>8</v>
      </c>
      <c r="J33" s="15" t="s">
        <v>102</v>
      </c>
      <c r="K33" s="301"/>
      <c r="L33" s="15" t="s">
        <v>102</v>
      </c>
      <c r="M33" s="3"/>
    </row>
    <row r="34" spans="2:27" x14ac:dyDescent="0.2">
      <c r="B34" s="3"/>
      <c r="C34" s="3"/>
      <c r="D34" s="15"/>
      <c r="E34" s="81"/>
      <c r="F34" s="15"/>
      <c r="G34" s="15"/>
      <c r="H34" s="15"/>
      <c r="I34" s="80"/>
      <c r="J34" s="15"/>
      <c r="K34" s="15"/>
      <c r="L34" s="3"/>
      <c r="M34" s="3"/>
    </row>
    <row r="35" spans="2:27" x14ac:dyDescent="0.2">
      <c r="B35" s="3"/>
      <c r="C35" s="3"/>
      <c r="D35" s="15"/>
      <c r="E35" s="10"/>
      <c r="F35" s="3"/>
      <c r="G35" s="3"/>
      <c r="H35" s="3"/>
      <c r="I35" s="16"/>
      <c r="J35" s="3"/>
      <c r="K35" s="3"/>
      <c r="L35" s="3"/>
      <c r="M35" s="3"/>
    </row>
    <row r="36" spans="2:27" ht="13.5" x14ac:dyDescent="0.2">
      <c r="B36" s="3"/>
      <c r="C36" s="3"/>
      <c r="D36" s="65" t="s">
        <v>169</v>
      </c>
      <c r="E36" s="10"/>
      <c r="F36" s="3"/>
      <c r="G36" s="3"/>
      <c r="H36" s="3"/>
      <c r="I36" s="16"/>
      <c r="J36" s="3"/>
      <c r="K36" s="3"/>
      <c r="L36" s="3"/>
      <c r="M36" s="3"/>
    </row>
    <row r="37" spans="2:27" ht="13.5" x14ac:dyDescent="0.2">
      <c r="B37" s="3"/>
      <c r="C37" s="3"/>
      <c r="D37" s="65" t="s">
        <v>216</v>
      </c>
      <c r="E37" s="10"/>
      <c r="F37" s="3"/>
      <c r="G37" s="3"/>
      <c r="H37" s="3"/>
      <c r="I37" s="16"/>
      <c r="J37" s="3"/>
      <c r="K37" s="3"/>
      <c r="L37" s="3"/>
      <c r="M37" s="3"/>
    </row>
    <row r="38" spans="2:27" x14ac:dyDescent="0.2">
      <c r="B38" s="3"/>
      <c r="C38" s="3"/>
      <c r="D38" s="15"/>
      <c r="E38" s="10"/>
      <c r="F38" s="3"/>
      <c r="G38" s="3"/>
      <c r="H38" s="3"/>
      <c r="I38" s="16"/>
      <c r="J38" s="3"/>
      <c r="K38" s="3"/>
      <c r="L38" s="3"/>
      <c r="M38" s="3"/>
    </row>
    <row r="40" spans="2:27" x14ac:dyDescent="0.2">
      <c r="B40" s="3"/>
      <c r="C40" s="3"/>
      <c r="D40" s="14"/>
      <c r="E40" s="3"/>
      <c r="F40" s="3"/>
      <c r="G40" s="3"/>
      <c r="H40" s="3"/>
      <c r="I40" s="3"/>
      <c r="J40" s="3"/>
      <c r="K40" s="3"/>
      <c r="L40" s="3"/>
      <c r="M40" s="3"/>
      <c r="N40" s="3"/>
      <c r="O40" s="3"/>
      <c r="P40" s="3"/>
      <c r="Q40" s="3"/>
      <c r="R40" s="3"/>
      <c r="S40" s="3"/>
      <c r="T40" s="3"/>
      <c r="U40" s="3"/>
      <c r="V40" s="3"/>
      <c r="W40" s="3"/>
      <c r="X40" s="3"/>
      <c r="Y40" s="3"/>
      <c r="Z40" s="3"/>
      <c r="AA40" s="3"/>
    </row>
    <row r="41" spans="2:27" ht="18" x14ac:dyDescent="0.25">
      <c r="B41" s="3"/>
      <c r="C41" s="96" t="s">
        <v>213</v>
      </c>
      <c r="D41" s="14"/>
      <c r="E41" s="3"/>
      <c r="F41" s="3"/>
      <c r="G41" s="3"/>
      <c r="H41" s="3"/>
      <c r="I41" s="3"/>
      <c r="J41" s="3"/>
      <c r="K41" s="3"/>
      <c r="L41" s="3"/>
      <c r="M41" s="3"/>
      <c r="N41" s="3"/>
      <c r="O41" s="3"/>
      <c r="P41" s="3"/>
      <c r="Q41" s="3"/>
      <c r="R41" s="3"/>
      <c r="S41" s="3"/>
      <c r="T41" s="3"/>
      <c r="U41" s="3"/>
      <c r="V41" s="3"/>
      <c r="W41" s="3"/>
      <c r="X41" s="3"/>
      <c r="Y41" s="3"/>
      <c r="Z41" s="3"/>
      <c r="AA41" s="3"/>
    </row>
    <row r="42" spans="2:27" x14ac:dyDescent="0.2">
      <c r="B42" s="3"/>
      <c r="C42" s="3"/>
      <c r="D42" s="14"/>
      <c r="E42" s="3"/>
      <c r="F42" s="3"/>
      <c r="G42" s="3"/>
      <c r="H42" s="3"/>
      <c r="I42" s="3"/>
      <c r="J42" s="3"/>
      <c r="K42" s="3"/>
      <c r="L42" s="3"/>
      <c r="M42" s="3"/>
      <c r="N42" s="3"/>
      <c r="O42" s="3"/>
      <c r="P42" s="3"/>
      <c r="Q42" s="3"/>
      <c r="R42" s="3"/>
      <c r="S42" s="3"/>
      <c r="T42" s="3"/>
      <c r="U42" s="3"/>
      <c r="V42" s="3"/>
      <c r="W42" s="3"/>
      <c r="X42" s="3"/>
      <c r="Y42" s="3"/>
      <c r="Z42" s="3"/>
      <c r="AA42" s="3"/>
    </row>
    <row r="43" spans="2:27" ht="15" x14ac:dyDescent="0.25">
      <c r="B43" s="3"/>
      <c r="C43" s="91" t="s">
        <v>115</v>
      </c>
      <c r="D43" s="3"/>
      <c r="E43" s="3"/>
      <c r="F43" s="3"/>
      <c r="G43" s="3"/>
      <c r="H43" s="3"/>
      <c r="I43" s="3"/>
      <c r="J43" s="3"/>
      <c r="K43" s="91" t="s">
        <v>119</v>
      </c>
      <c r="L43" s="3"/>
      <c r="M43" s="3"/>
      <c r="N43" s="3"/>
      <c r="O43" s="3"/>
      <c r="P43" s="3"/>
      <c r="Q43" s="3"/>
      <c r="R43" s="3"/>
      <c r="S43" s="92" t="s">
        <v>87</v>
      </c>
      <c r="T43" s="3"/>
      <c r="U43" s="3"/>
      <c r="V43" s="3"/>
      <c r="W43" s="3"/>
      <c r="X43" s="3"/>
      <c r="Y43" s="3"/>
      <c r="Z43" s="3"/>
      <c r="AA43" s="3"/>
    </row>
    <row r="44" spans="2:27" x14ac:dyDescent="0.2">
      <c r="B44" s="3"/>
      <c r="C44" s="3"/>
      <c r="D44" s="14"/>
      <c r="E44" s="3"/>
      <c r="F44" s="3"/>
      <c r="G44" s="3"/>
      <c r="H44" s="3"/>
      <c r="I44" s="3"/>
      <c r="J44" s="3"/>
      <c r="K44" s="3"/>
      <c r="L44" s="3"/>
      <c r="M44" s="3"/>
      <c r="N44" s="3"/>
      <c r="O44" s="3"/>
      <c r="P44" s="3"/>
      <c r="Q44" s="3"/>
      <c r="R44" s="3"/>
      <c r="S44" s="3"/>
      <c r="T44" s="3"/>
      <c r="U44" s="3"/>
      <c r="V44" s="3"/>
      <c r="W44" s="3"/>
      <c r="X44" s="3"/>
      <c r="Y44" s="3"/>
      <c r="Z44" s="3"/>
      <c r="AA44" s="3"/>
    </row>
    <row r="45" spans="2:27" x14ac:dyDescent="0.2">
      <c r="B45" s="3"/>
      <c r="C45" s="3"/>
      <c r="D45" s="3"/>
      <c r="E45" s="3"/>
      <c r="F45" s="3"/>
      <c r="G45" s="3"/>
      <c r="H45" s="3"/>
      <c r="I45" s="3"/>
      <c r="J45" s="3"/>
      <c r="K45" s="3"/>
      <c r="L45" s="3"/>
      <c r="M45" s="3"/>
      <c r="N45" s="3"/>
      <c r="O45" s="3"/>
      <c r="P45" s="3"/>
      <c r="Q45" s="3"/>
      <c r="R45" s="3"/>
      <c r="S45" s="3"/>
      <c r="T45" s="3"/>
      <c r="U45" s="3"/>
      <c r="V45" s="3"/>
      <c r="W45" s="3"/>
      <c r="X45" s="3"/>
      <c r="Y45" s="3"/>
      <c r="Z45" s="3"/>
      <c r="AA45" s="3"/>
    </row>
    <row r="46" spans="2:27" x14ac:dyDescent="0.2">
      <c r="B46" s="3"/>
      <c r="C46" s="3"/>
      <c r="D46" s="3"/>
      <c r="E46" s="3"/>
      <c r="F46" s="3"/>
      <c r="G46" s="3"/>
      <c r="H46" s="3"/>
      <c r="I46" s="3"/>
      <c r="J46" s="3"/>
      <c r="K46" s="3"/>
      <c r="L46" s="3"/>
      <c r="M46" s="3"/>
      <c r="N46" s="3"/>
      <c r="O46" s="3"/>
      <c r="P46" s="3"/>
      <c r="Q46" s="3"/>
      <c r="R46" s="3"/>
      <c r="S46" s="3"/>
      <c r="T46" s="3"/>
      <c r="U46" s="3"/>
      <c r="V46" s="3"/>
      <c r="W46" s="3"/>
      <c r="X46" s="3"/>
      <c r="Y46" s="3"/>
      <c r="Z46" s="3"/>
      <c r="AA46" s="3"/>
    </row>
    <row r="47" spans="2:27" x14ac:dyDescent="0.2">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3"/>
      <c r="E48" s="3"/>
      <c r="F48" s="3"/>
      <c r="G48" s="3"/>
      <c r="H48" s="3"/>
      <c r="I48" s="3"/>
      <c r="J48" s="3"/>
      <c r="K48" s="3"/>
      <c r="L48" s="3"/>
      <c r="M48" s="3"/>
      <c r="N48" s="3"/>
      <c r="O48" s="3"/>
      <c r="P48" s="3"/>
      <c r="Q48" s="3"/>
      <c r="R48" s="3"/>
      <c r="S48" s="3"/>
      <c r="T48" s="3"/>
      <c r="U48" s="3"/>
      <c r="V48" s="3"/>
      <c r="W48" s="3"/>
      <c r="X48" s="3"/>
      <c r="Y48" s="3"/>
      <c r="Z48" s="3"/>
      <c r="AA48" s="3"/>
    </row>
    <row r="49" spans="2:27" x14ac:dyDescent="0.2">
      <c r="B49" s="3"/>
      <c r="C49" s="3"/>
      <c r="D49" s="3"/>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x14ac:dyDescent="0.2">
      <c r="B66" s="3"/>
      <c r="C66" s="3"/>
      <c r="D66" s="3"/>
      <c r="E66" s="3"/>
      <c r="F66" s="3"/>
      <c r="G66" s="3"/>
      <c r="H66" s="3"/>
      <c r="I66" s="3"/>
      <c r="J66" s="3"/>
      <c r="K66" s="3"/>
      <c r="L66" s="3"/>
      <c r="M66" s="3"/>
      <c r="N66" s="3"/>
      <c r="O66" s="3"/>
      <c r="P66" s="3"/>
      <c r="Q66" s="3"/>
      <c r="R66" s="3"/>
      <c r="S66" s="3"/>
      <c r="T66" s="3"/>
      <c r="U66" s="3"/>
      <c r="V66" s="3"/>
      <c r="W66" s="3"/>
      <c r="X66" s="3"/>
      <c r="Y66" s="3"/>
      <c r="Z66" s="3"/>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3"/>
      <c r="Z67" s="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7" x14ac:dyDescent="0.2">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7" x14ac:dyDescent="0.2">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7" x14ac:dyDescent="0.2">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7" x14ac:dyDescent="0.2">
      <c r="B72" s="3"/>
      <c r="C72" s="3"/>
      <c r="D72" s="3"/>
      <c r="E72" s="3"/>
      <c r="F72" s="3"/>
      <c r="G72" s="3"/>
      <c r="H72" s="3"/>
      <c r="I72" s="3"/>
      <c r="J72" s="3"/>
      <c r="K72" s="3"/>
      <c r="L72" s="3"/>
      <c r="M72" s="3"/>
      <c r="N72" s="3"/>
      <c r="O72" s="3"/>
      <c r="P72" s="3"/>
      <c r="Q72" s="3"/>
      <c r="R72" s="3"/>
      <c r="S72" s="3"/>
      <c r="T72" s="3"/>
      <c r="U72" s="3"/>
      <c r="V72" s="3"/>
      <c r="W72" s="3"/>
      <c r="X72" s="3"/>
      <c r="Y72" s="3"/>
      <c r="Z72" s="3"/>
      <c r="AA72" s="3"/>
    </row>
    <row r="73" spans="2:27" x14ac:dyDescent="0.2">
      <c r="B73" s="3"/>
      <c r="C73" s="3"/>
      <c r="D73" s="3"/>
      <c r="E73" s="3"/>
      <c r="F73" s="3"/>
      <c r="G73" s="3"/>
      <c r="H73" s="3"/>
      <c r="I73" s="3"/>
      <c r="J73" s="3"/>
      <c r="K73" s="3"/>
      <c r="L73" s="3"/>
      <c r="M73" s="3"/>
      <c r="N73" s="3"/>
      <c r="O73" s="3"/>
      <c r="P73" s="3"/>
      <c r="Q73" s="3"/>
      <c r="R73" s="3"/>
      <c r="S73" s="3"/>
      <c r="T73" s="3"/>
      <c r="U73" s="3"/>
      <c r="V73" s="3"/>
      <c r="W73" s="3"/>
      <c r="X73" s="3"/>
      <c r="Y73" s="3"/>
      <c r="Z73" s="3"/>
      <c r="AA73" s="3"/>
    </row>
    <row r="74" spans="2:27" x14ac:dyDescent="0.2">
      <c r="B74" s="3"/>
      <c r="C74" s="3"/>
      <c r="D74" s="3"/>
      <c r="E74" s="3"/>
      <c r="F74" s="3"/>
      <c r="G74" s="3"/>
      <c r="H74" s="3"/>
      <c r="I74" s="3"/>
      <c r="J74" s="3"/>
      <c r="K74" s="3"/>
      <c r="L74" s="3"/>
      <c r="M74" s="3"/>
      <c r="N74" s="3"/>
      <c r="O74" s="3"/>
      <c r="P74" s="3"/>
      <c r="Q74" s="3"/>
      <c r="R74" s="3"/>
      <c r="S74" s="3"/>
      <c r="T74" s="3"/>
      <c r="U74" s="3"/>
      <c r="V74" s="3"/>
      <c r="W74" s="3"/>
      <c r="X74" s="3"/>
      <c r="Y74" s="3"/>
      <c r="Z74" s="3"/>
      <c r="AA74" s="3"/>
    </row>
    <row r="75" spans="2:27" ht="15" customHeight="1" x14ac:dyDescent="0.25">
      <c r="B75" s="3"/>
      <c r="C75" s="96"/>
      <c r="D75" s="62"/>
      <c r="E75" s="3"/>
      <c r="F75" s="3"/>
      <c r="G75" s="3"/>
      <c r="H75" s="3"/>
      <c r="I75" s="3"/>
      <c r="J75" s="3"/>
      <c r="K75" s="3"/>
      <c r="L75" s="3"/>
      <c r="M75" s="3"/>
      <c r="N75" s="3"/>
      <c r="O75" s="3"/>
      <c r="P75" s="3"/>
      <c r="Q75" s="3"/>
      <c r="R75" s="3"/>
      <c r="S75" s="3"/>
      <c r="T75" s="3"/>
      <c r="U75" s="3"/>
      <c r="V75" s="3"/>
      <c r="W75" s="3"/>
      <c r="X75" s="3"/>
      <c r="Y75" s="84"/>
      <c r="Z75" s="84"/>
      <c r="AA75" s="3"/>
    </row>
    <row r="76" spans="2:27" x14ac:dyDescent="0.2">
      <c r="B76" s="3"/>
      <c r="C76" s="3"/>
      <c r="D76" s="3"/>
      <c r="E76" s="3"/>
      <c r="F76" s="3"/>
      <c r="G76" s="3"/>
      <c r="H76" s="3"/>
      <c r="I76" s="3"/>
      <c r="J76" s="3"/>
      <c r="K76" s="3"/>
      <c r="L76" s="3"/>
      <c r="M76" s="3"/>
      <c r="N76" s="3"/>
      <c r="O76" s="3"/>
      <c r="P76" s="3"/>
      <c r="Q76" s="3"/>
      <c r="R76" s="3"/>
      <c r="S76" s="3"/>
      <c r="T76" s="3"/>
      <c r="U76" s="3"/>
      <c r="V76" s="3"/>
      <c r="W76" s="3"/>
      <c r="X76" s="3"/>
      <c r="Y76" s="83"/>
      <c r="Z76" s="83"/>
      <c r="AA76" s="3"/>
    </row>
    <row r="77" spans="2:27" x14ac:dyDescent="0.2">
      <c r="B77" s="3"/>
      <c r="C77" s="3"/>
      <c r="D77" s="3"/>
      <c r="E77" s="3"/>
      <c r="F77" s="3"/>
      <c r="G77" s="3"/>
      <c r="H77" s="3"/>
      <c r="I77" s="3"/>
      <c r="J77" s="3"/>
      <c r="K77" s="3"/>
      <c r="L77" s="3"/>
      <c r="M77" s="3"/>
      <c r="N77" s="3"/>
      <c r="O77" s="3"/>
      <c r="P77" s="3"/>
      <c r="Q77" s="3"/>
      <c r="R77" s="3"/>
      <c r="S77" s="3"/>
      <c r="T77" s="3"/>
      <c r="U77" s="3"/>
      <c r="V77" s="3"/>
      <c r="W77" s="3"/>
      <c r="X77" s="3"/>
      <c r="Y77" s="83"/>
      <c r="Z77" s="83"/>
      <c r="AA77" s="3"/>
    </row>
    <row r="78" spans="2:27" ht="15" customHeight="1" x14ac:dyDescent="0.25">
      <c r="B78" s="3"/>
      <c r="C78" s="3"/>
      <c r="D78" s="23" t="s">
        <v>116</v>
      </c>
      <c r="E78" s="24"/>
      <c r="F78" s="24"/>
      <c r="G78" s="24"/>
      <c r="H78" s="24"/>
      <c r="I78" s="3"/>
      <c r="J78" s="3"/>
      <c r="K78" s="3"/>
      <c r="L78" s="23" t="s">
        <v>195</v>
      </c>
      <c r="M78" s="24"/>
      <c r="N78" s="24"/>
      <c r="O78" s="24"/>
      <c r="P78" s="24"/>
      <c r="Q78" s="3"/>
      <c r="R78" s="3"/>
      <c r="S78" s="3"/>
      <c r="T78" s="23" t="s">
        <v>200</v>
      </c>
      <c r="U78" s="24"/>
      <c r="V78" s="24"/>
      <c r="W78" s="24"/>
      <c r="X78" s="3"/>
      <c r="Y78" s="83"/>
      <c r="Z78" s="83"/>
      <c r="AA78" s="3"/>
    </row>
    <row r="79" spans="2:27" ht="15" customHeight="1" x14ac:dyDescent="0.25">
      <c r="B79" s="3"/>
      <c r="C79" s="387" t="s">
        <v>147</v>
      </c>
      <c r="D79" s="46"/>
      <c r="E79" s="46">
        <v>2020</v>
      </c>
      <c r="F79" s="47">
        <v>2025</v>
      </c>
      <c r="G79" s="47">
        <v>2030</v>
      </c>
      <c r="H79" s="34"/>
      <c r="I79" s="3"/>
      <c r="J79" s="3"/>
      <c r="K79" s="3"/>
      <c r="L79" s="34"/>
      <c r="M79" s="46">
        <v>2020</v>
      </c>
      <c r="N79" s="47">
        <v>2025</v>
      </c>
      <c r="O79" s="47">
        <v>2030</v>
      </c>
      <c r="P79" s="34"/>
      <c r="Q79" s="3"/>
      <c r="R79" s="3"/>
      <c r="S79" s="387" t="s">
        <v>147</v>
      </c>
      <c r="T79" s="34"/>
      <c r="U79" s="47">
        <v>2020</v>
      </c>
      <c r="V79" s="47">
        <v>2025</v>
      </c>
      <c r="W79" s="47">
        <v>2030</v>
      </c>
      <c r="X79" s="3"/>
      <c r="Y79" s="83"/>
      <c r="Z79" s="83"/>
      <c r="AA79" s="63"/>
    </row>
    <row r="80" spans="2:27" x14ac:dyDescent="0.2">
      <c r="B80" s="3"/>
      <c r="C80" s="387"/>
      <c r="D80" s="24"/>
      <c r="E80" s="48" t="s">
        <v>92</v>
      </c>
      <c r="F80" s="49"/>
      <c r="G80" s="49"/>
      <c r="H80" s="24"/>
      <c r="I80" s="3"/>
      <c r="J80" s="3"/>
      <c r="K80" s="3"/>
      <c r="L80" s="24"/>
      <c r="M80" s="48" t="s">
        <v>92</v>
      </c>
      <c r="N80" s="49"/>
      <c r="O80" s="49"/>
      <c r="P80" s="24"/>
      <c r="Q80" s="3"/>
      <c r="R80" s="3"/>
      <c r="S80" s="387"/>
      <c r="T80" s="24"/>
      <c r="U80" s="50" t="s">
        <v>92</v>
      </c>
      <c r="V80" s="50"/>
      <c r="W80" s="59"/>
      <c r="X80" s="3"/>
      <c r="Y80" s="83"/>
      <c r="Z80" s="83"/>
      <c r="AA80" s="63"/>
    </row>
    <row r="81" spans="2:27" ht="15.75" x14ac:dyDescent="0.3">
      <c r="B81" s="3"/>
      <c r="C81" s="3"/>
      <c r="D81" s="29" t="s">
        <v>32</v>
      </c>
      <c r="E81" s="32">
        <f>'Referenz Pflasterwerk'!$U$16+'Referenz Pflasterwerk'!U21</f>
        <v>8.2422000000000004</v>
      </c>
      <c r="F81" s="32">
        <f>J154+J159</f>
        <v>8.2422000000000004</v>
      </c>
      <c r="G81" s="32">
        <f>J222+J227</f>
        <v>8.2422000000000004</v>
      </c>
      <c r="H81" s="25" t="s">
        <v>164</v>
      </c>
      <c r="I81" s="3"/>
      <c r="J81" s="3"/>
      <c r="K81" s="3"/>
      <c r="L81" s="29" t="s">
        <v>118</v>
      </c>
      <c r="M81" s="26">
        <f>'Referenz Pflasterwerk'!Q74</f>
        <v>106.60088015999999</v>
      </c>
      <c r="N81" s="26">
        <f>F211</f>
        <v>64.071511199999989</v>
      </c>
      <c r="O81" s="26">
        <f>F279</f>
        <v>21.542142239999997</v>
      </c>
      <c r="P81" s="25" t="s">
        <v>164</v>
      </c>
      <c r="Q81" s="3"/>
      <c r="R81" s="3"/>
      <c r="S81" s="3"/>
      <c r="T81" s="57" t="s">
        <v>160</v>
      </c>
      <c r="U81" s="58">
        <f>SUM(U82:U88)</f>
        <v>172669</v>
      </c>
      <c r="V81" s="58">
        <f t="shared" ref="V81:W81" si="0">SUM(V82:V88)</f>
        <v>175420.17333333334</v>
      </c>
      <c r="W81" s="58">
        <f t="shared" si="0"/>
        <v>178171.34666666668</v>
      </c>
      <c r="X81" s="3"/>
      <c r="Y81" s="115"/>
      <c r="Z81" s="115"/>
      <c r="AA81" s="63"/>
    </row>
    <row r="82" spans="2:27" ht="15.75" x14ac:dyDescent="0.3">
      <c r="B82" s="3"/>
      <c r="C82" s="3"/>
      <c r="D82" s="8" t="s">
        <v>33</v>
      </c>
      <c r="E82" s="10">
        <f>'Referenz Pflasterwerk'!$U$17+'Referenz Pflasterwerk'!U22</f>
        <v>2.6676000000000002</v>
      </c>
      <c r="F82" s="10">
        <f>J155+J160</f>
        <v>2.6676000000000002</v>
      </c>
      <c r="G82" s="10">
        <f>J223+J228</f>
        <v>2.6676000000000002</v>
      </c>
      <c r="H82" s="3" t="s">
        <v>164</v>
      </c>
      <c r="I82" s="3"/>
      <c r="J82" s="3"/>
      <c r="K82" s="3"/>
      <c r="L82" s="8" t="s">
        <v>28</v>
      </c>
      <c r="M82" s="9">
        <f>'Referenz Pflasterwerk'!R74</f>
        <v>286.5</v>
      </c>
      <c r="N82" s="9">
        <f>G211</f>
        <v>241.61230249163646</v>
      </c>
      <c r="O82" s="9">
        <f>G279</f>
        <v>135.5669943518796</v>
      </c>
      <c r="P82" s="3" t="s">
        <v>164</v>
      </c>
      <c r="Q82" s="3"/>
      <c r="R82" s="3"/>
      <c r="S82" s="3"/>
      <c r="T82" s="31" t="s">
        <v>32</v>
      </c>
      <c r="U82" s="52">
        <f>'Referenz Pflasterwerk'!AB16</f>
        <v>2745</v>
      </c>
      <c r="V82" s="52">
        <f>S154+S159</f>
        <v>2745</v>
      </c>
      <c r="W82" s="52">
        <f>S222+S227</f>
        <v>2745</v>
      </c>
      <c r="X82" s="3"/>
      <c r="Y82" s="115"/>
      <c r="Z82" s="115"/>
      <c r="AA82" s="63"/>
    </row>
    <row r="83" spans="2:27" ht="15.75" x14ac:dyDescent="0.3">
      <c r="B83" s="3"/>
      <c r="C83" s="3"/>
      <c r="D83" s="29" t="s">
        <v>34</v>
      </c>
      <c r="E83" s="32">
        <f>'Referenz Pflasterwerk'!$U$18+'Referenz Pflasterwerk'!R24</f>
        <v>286.5</v>
      </c>
      <c r="F83" s="32">
        <f>J156+J162</f>
        <v>241.61230249163646</v>
      </c>
      <c r="G83" s="32">
        <f>J224+J230</f>
        <v>135.5669943518796</v>
      </c>
      <c r="H83" s="25" t="s">
        <v>164</v>
      </c>
      <c r="I83" s="3"/>
      <c r="J83" s="3"/>
      <c r="K83" s="3"/>
      <c r="L83" s="29" t="s">
        <v>29</v>
      </c>
      <c r="M83" s="26">
        <f>'Referenz Pflasterwerk'!S74</f>
        <v>10520.622960446901</v>
      </c>
      <c r="N83" s="26">
        <f>H211</f>
        <v>10506.528581640649</v>
      </c>
      <c r="O83" s="26">
        <f>H279</f>
        <v>10483.46868923398</v>
      </c>
      <c r="P83" s="25" t="s">
        <v>164</v>
      </c>
      <c r="Q83" s="3"/>
      <c r="R83" s="3"/>
      <c r="S83" s="3"/>
      <c r="T83" s="31" t="s">
        <v>33</v>
      </c>
      <c r="U83" s="52">
        <f>'Referenz Pflasterwerk'!AB17</f>
        <v>460</v>
      </c>
      <c r="V83" s="52">
        <f>S155+S160</f>
        <v>460</v>
      </c>
      <c r="W83" s="52">
        <f>S223+S228</f>
        <v>460</v>
      </c>
      <c r="X83" s="3"/>
      <c r="Y83" s="115"/>
      <c r="Z83" s="115"/>
      <c r="AA83" s="63"/>
    </row>
    <row r="84" spans="2:27" ht="16.5" thickBot="1" x14ac:dyDescent="0.35">
      <c r="B84" s="3"/>
      <c r="C84" s="3"/>
      <c r="D84" s="8" t="s">
        <v>129</v>
      </c>
      <c r="E84" s="10">
        <f>'Referenz Pflasterwerk'!$U$19</f>
        <v>0</v>
      </c>
      <c r="F84" s="10">
        <f>J157</f>
        <v>0</v>
      </c>
      <c r="G84" s="10">
        <f>J225</f>
        <v>0</v>
      </c>
      <c r="H84" s="3" t="s">
        <v>164</v>
      </c>
      <c r="I84" s="3"/>
      <c r="J84" s="3"/>
      <c r="K84" s="3"/>
      <c r="L84" s="27" t="s">
        <v>70</v>
      </c>
      <c r="M84" s="28">
        <f>SUM(M81:M83)</f>
        <v>10913.723840606901</v>
      </c>
      <c r="N84" s="28">
        <f t="shared" ref="N84:O84" si="1">SUM(N81:N83)</f>
        <v>10812.212395332284</v>
      </c>
      <c r="O84" s="28">
        <f t="shared" si="1"/>
        <v>10640.57782582586</v>
      </c>
      <c r="P84" s="27" t="s">
        <v>165</v>
      </c>
      <c r="Q84" s="3"/>
      <c r="R84" s="3"/>
      <c r="S84" s="3"/>
      <c r="T84" s="31" t="s">
        <v>34</v>
      </c>
      <c r="U84" s="52">
        <f>'Referenz Pflasterwerk'!AB18</f>
        <v>129000</v>
      </c>
      <c r="V84" s="52">
        <f>S156+S162</f>
        <v>149735.17333333334</v>
      </c>
      <c r="W84" s="52">
        <f>S224+S230</f>
        <v>170470.34666666668</v>
      </c>
      <c r="X84" s="3"/>
      <c r="Y84" s="115"/>
      <c r="Z84" s="115"/>
      <c r="AA84" s="63"/>
    </row>
    <row r="85" spans="2:27" ht="16.5" thickTop="1" x14ac:dyDescent="0.3">
      <c r="B85" s="3"/>
      <c r="C85" s="3"/>
      <c r="D85" s="29" t="s">
        <v>125</v>
      </c>
      <c r="E85" s="32">
        <f>'Referenz Pflasterwerk'!$U$25</f>
        <v>0</v>
      </c>
      <c r="F85" s="32">
        <f>J163</f>
        <v>0</v>
      </c>
      <c r="G85" s="32">
        <f>J231</f>
        <v>0</v>
      </c>
      <c r="H85" s="25" t="s">
        <v>164</v>
      </c>
      <c r="I85" s="3"/>
      <c r="J85" s="3"/>
      <c r="K85" s="3"/>
      <c r="L85" s="3"/>
      <c r="M85" s="3"/>
      <c r="N85" s="3"/>
      <c r="O85" s="3"/>
      <c r="P85" s="3"/>
      <c r="Q85" s="3"/>
      <c r="R85" s="3"/>
      <c r="S85" s="3"/>
      <c r="T85" s="31" t="s">
        <v>125</v>
      </c>
      <c r="U85" s="52">
        <f>'Referenz Pflasterwerk'!AB19</f>
        <v>0</v>
      </c>
      <c r="V85" s="52">
        <f>S163</f>
        <v>0</v>
      </c>
      <c r="W85" s="52">
        <f>S231</f>
        <v>0</v>
      </c>
      <c r="X85" s="3"/>
      <c r="Y85" s="115"/>
      <c r="Z85" s="115"/>
      <c r="AA85" s="63"/>
    </row>
    <row r="86" spans="2:27" ht="15.75" x14ac:dyDescent="0.3">
      <c r="B86" s="3"/>
      <c r="C86" s="3"/>
      <c r="D86" s="8" t="s">
        <v>151</v>
      </c>
      <c r="E86" s="10">
        <f>'Referenz Pflasterwerk'!$U$26</f>
        <v>0</v>
      </c>
      <c r="F86" s="10">
        <f>J164</f>
        <v>0</v>
      </c>
      <c r="G86" s="10">
        <f>J232</f>
        <v>0</v>
      </c>
      <c r="H86" s="3" t="s">
        <v>164</v>
      </c>
      <c r="I86" s="3"/>
      <c r="J86" s="3"/>
      <c r="K86" s="3"/>
      <c r="L86" s="3"/>
      <c r="M86" s="3"/>
      <c r="N86" s="3"/>
      <c r="O86" s="3"/>
      <c r="P86" s="3"/>
      <c r="Q86" s="3"/>
      <c r="R86" s="3"/>
      <c r="S86" s="3"/>
      <c r="T86" s="31" t="s">
        <v>126</v>
      </c>
      <c r="U86" s="52">
        <f>'Referenz Pflasterwerk'!AB20</f>
        <v>0</v>
      </c>
      <c r="V86" s="52">
        <f>S157</f>
        <v>0</v>
      </c>
      <c r="W86" s="52">
        <f>S225</f>
        <v>0</v>
      </c>
      <c r="X86" s="3"/>
      <c r="Y86" s="115"/>
      <c r="Z86" s="115"/>
      <c r="AA86" s="63"/>
    </row>
    <row r="87" spans="2:27" ht="15.75" x14ac:dyDescent="0.3">
      <c r="B87" s="3"/>
      <c r="C87" s="3"/>
      <c r="D87" s="29" t="s">
        <v>35</v>
      </c>
      <c r="E87" s="32">
        <f>'Referenz Pflasterwerk'!$U$28+'Referenz Pflasterwerk'!$U$29</f>
        <v>95.691080159999984</v>
      </c>
      <c r="F87" s="32">
        <f>J166+J167</f>
        <v>53.161711199999992</v>
      </c>
      <c r="G87" s="32">
        <f>J234+J235</f>
        <v>10.632342239999998</v>
      </c>
      <c r="H87" s="25" t="s">
        <v>164</v>
      </c>
      <c r="I87" s="3"/>
      <c r="J87" s="3"/>
      <c r="K87" s="3"/>
      <c r="L87" s="23" t="s">
        <v>193</v>
      </c>
      <c r="M87" s="24"/>
      <c r="N87" s="24"/>
      <c r="O87" s="24"/>
      <c r="P87" s="24"/>
      <c r="Q87" s="3"/>
      <c r="R87" s="3"/>
      <c r="S87" s="3"/>
      <c r="T87" s="31" t="s">
        <v>463</v>
      </c>
      <c r="U87" s="52">
        <f>'Referenz Pflasterwerk'!AB21</f>
        <v>0</v>
      </c>
      <c r="V87" s="52">
        <f>S164</f>
        <v>0</v>
      </c>
      <c r="W87" s="52">
        <f>S232</f>
        <v>0</v>
      </c>
      <c r="X87" s="3"/>
      <c r="Y87" s="115"/>
      <c r="Z87" s="115"/>
      <c r="AA87" s="63"/>
    </row>
    <row r="88" spans="2:27" ht="15.75" thickBot="1" x14ac:dyDescent="0.3">
      <c r="B88" s="3"/>
      <c r="C88" s="3"/>
      <c r="D88" s="27" t="s">
        <v>70</v>
      </c>
      <c r="E88" s="33">
        <f>SUM(E81:E87)</f>
        <v>393.10088015999997</v>
      </c>
      <c r="F88" s="33">
        <f>SUM(F81:F87)</f>
        <v>305.68381369163643</v>
      </c>
      <c r="G88" s="33">
        <f>SUM(G81:G87)</f>
        <v>157.10913659187958</v>
      </c>
      <c r="H88" s="27" t="s">
        <v>165</v>
      </c>
      <c r="I88" s="3"/>
      <c r="J88" s="3"/>
      <c r="K88" s="387" t="s">
        <v>147</v>
      </c>
      <c r="L88" s="34"/>
      <c r="M88" s="46">
        <v>2020</v>
      </c>
      <c r="N88" s="47">
        <v>2025</v>
      </c>
      <c r="O88" s="47">
        <v>2030</v>
      </c>
      <c r="P88" s="34"/>
      <c r="Q88" s="3"/>
      <c r="R88" s="3"/>
      <c r="S88" s="3"/>
      <c r="T88" s="51" t="s">
        <v>35</v>
      </c>
      <c r="U88" s="53">
        <f>'Referenz Pflasterwerk'!AB22</f>
        <v>40464.000000000007</v>
      </c>
      <c r="V88" s="54">
        <f>S166+S167</f>
        <v>22480</v>
      </c>
      <c r="W88" s="54">
        <f>S234+S235</f>
        <v>4496</v>
      </c>
      <c r="X88" s="3"/>
      <c r="Y88" s="115"/>
      <c r="Z88" s="115"/>
      <c r="AA88" s="63"/>
    </row>
    <row r="89" spans="2:27" ht="13.5" thickTop="1" x14ac:dyDescent="0.2">
      <c r="B89" s="3"/>
      <c r="C89" s="3"/>
      <c r="D89" s="3"/>
      <c r="E89" s="3"/>
      <c r="F89" s="3"/>
      <c r="G89" s="3"/>
      <c r="H89" s="3"/>
      <c r="I89" s="3"/>
      <c r="J89" s="3"/>
      <c r="K89" s="387"/>
      <c r="L89" s="24"/>
      <c r="M89" s="48" t="s">
        <v>92</v>
      </c>
      <c r="N89" s="49"/>
      <c r="O89" s="49"/>
      <c r="P89" s="24"/>
      <c r="Q89" s="3"/>
      <c r="R89" s="3"/>
      <c r="S89" s="3"/>
      <c r="T89" s="8" t="s">
        <v>31</v>
      </c>
      <c r="U89" s="55">
        <v>0</v>
      </c>
      <c r="V89" s="55">
        <f>S170</f>
        <v>135000</v>
      </c>
      <c r="W89" s="55">
        <f>S238</f>
        <v>270000</v>
      </c>
      <c r="X89" s="3"/>
      <c r="Y89" s="115"/>
      <c r="Z89" s="115"/>
      <c r="AA89" s="63"/>
    </row>
    <row r="90" spans="2:27" ht="15.75" x14ac:dyDescent="0.3">
      <c r="B90" s="3"/>
      <c r="C90" s="3"/>
      <c r="D90" s="3"/>
      <c r="E90" s="3"/>
      <c r="F90" s="3"/>
      <c r="G90" s="3"/>
      <c r="H90" s="3"/>
      <c r="I90" s="3"/>
      <c r="J90" s="3"/>
      <c r="K90" s="3"/>
      <c r="L90" s="29" t="str">
        <f>C152</f>
        <v>Energieträger gesamt</v>
      </c>
      <c r="M90" s="26">
        <f>SUM('Referenz Pflasterwerk'!S16:S29)</f>
        <v>60.712972560000004</v>
      </c>
      <c r="N90" s="26">
        <f>H152</f>
        <v>46.61859375374776</v>
      </c>
      <c r="O90" s="26">
        <f>H220</f>
        <v>23.558701347081822</v>
      </c>
      <c r="P90" s="25" t="s">
        <v>164</v>
      </c>
      <c r="Q90" s="3"/>
      <c r="R90" s="3"/>
      <c r="S90" s="3"/>
      <c r="T90" s="8" t="s">
        <v>155</v>
      </c>
      <c r="U90" s="55">
        <v>0</v>
      </c>
      <c r="V90" s="55">
        <f>S171</f>
        <v>0</v>
      </c>
      <c r="W90" s="55">
        <f>S239</f>
        <v>0</v>
      </c>
      <c r="X90" s="3"/>
      <c r="Y90" s="115"/>
      <c r="Z90" s="115"/>
      <c r="AA90" s="63"/>
    </row>
    <row r="91" spans="2:27" ht="15.75" x14ac:dyDescent="0.3">
      <c r="B91" s="3"/>
      <c r="C91" s="3"/>
      <c r="D91" s="3"/>
      <c r="E91" s="3"/>
      <c r="F91" s="3"/>
      <c r="G91" s="3"/>
      <c r="H91" s="3"/>
      <c r="I91" s="3"/>
      <c r="J91" s="3"/>
      <c r="K91" s="3"/>
      <c r="L91" s="8" t="str">
        <f>C168</f>
        <v>Transport gesamt</v>
      </c>
      <c r="M91" s="9">
        <f>'Referenz Pflasterwerk'!S32+'Referenz Pflasterwerk'!S33</f>
        <v>578.62626120000004</v>
      </c>
      <c r="N91" s="9">
        <f>H168</f>
        <v>578.62626120000004</v>
      </c>
      <c r="O91" s="9">
        <f>H236</f>
        <v>578.62626120000004</v>
      </c>
      <c r="P91" s="3" t="s">
        <v>164</v>
      </c>
      <c r="Q91" s="3"/>
      <c r="R91" s="3"/>
      <c r="S91" s="3"/>
      <c r="T91" s="59" t="s">
        <v>162</v>
      </c>
      <c r="U91" s="61">
        <v>0</v>
      </c>
      <c r="V91" s="61">
        <f>S172</f>
        <v>0</v>
      </c>
      <c r="W91" s="61">
        <f>S240</f>
        <v>0</v>
      </c>
      <c r="X91" s="3"/>
      <c r="Y91" s="115"/>
      <c r="Z91" s="115"/>
      <c r="AA91" s="63"/>
    </row>
    <row r="92" spans="2:27" ht="15.75" x14ac:dyDescent="0.3">
      <c r="B92" s="3"/>
      <c r="C92" s="3"/>
      <c r="D92" s="3"/>
      <c r="E92" s="3"/>
      <c r="F92" s="3"/>
      <c r="G92" s="3"/>
      <c r="H92" s="3"/>
      <c r="I92" s="3"/>
      <c r="J92" s="3"/>
      <c r="K92" s="3"/>
      <c r="L92" s="29" t="str">
        <f>C172</f>
        <v>Zement</v>
      </c>
      <c r="M92" s="26">
        <f>'Referenz Pflasterwerk'!S35</f>
        <v>7683.24</v>
      </c>
      <c r="N92" s="26">
        <f>H172</f>
        <v>7683.24</v>
      </c>
      <c r="O92" s="26">
        <f>H240</f>
        <v>7683.24</v>
      </c>
      <c r="P92" s="25" t="s">
        <v>164</v>
      </c>
      <c r="Q92" s="3"/>
      <c r="R92" s="3"/>
      <c r="S92" s="3"/>
      <c r="T92" s="57" t="s">
        <v>156</v>
      </c>
      <c r="U92" s="58">
        <f>SUM(U93:U95)</f>
        <v>272843.09601517254</v>
      </c>
      <c r="V92" s="58">
        <f t="shared" ref="V92:W92" si="2">SUM(V93:V95)</f>
        <v>486549.55778995279</v>
      </c>
      <c r="W92" s="58">
        <f t="shared" si="2"/>
        <v>851246.22606606875</v>
      </c>
      <c r="X92" s="3"/>
      <c r="Y92" s="115"/>
      <c r="Z92" s="115"/>
      <c r="AA92" s="63"/>
    </row>
    <row r="93" spans="2:27" ht="15.75" x14ac:dyDescent="0.3">
      <c r="B93" s="3"/>
      <c r="C93" s="3"/>
      <c r="D93" s="3"/>
      <c r="E93" s="3"/>
      <c r="F93" s="3"/>
      <c r="G93" s="3"/>
      <c r="H93" s="3"/>
      <c r="I93" s="3"/>
      <c r="J93" s="3"/>
      <c r="K93" s="3"/>
      <c r="L93" s="8" t="str">
        <f>C178</f>
        <v>Gesteinskörnungen (Zuschlagsstoffe)</v>
      </c>
      <c r="M93" s="9">
        <f>'Referenz Pflasterwerk'!S41</f>
        <v>387.03000000000003</v>
      </c>
      <c r="N93" s="9">
        <f>H178</f>
        <v>387.03000000000003</v>
      </c>
      <c r="O93" s="9">
        <f>H246</f>
        <v>387.03000000000003</v>
      </c>
      <c r="P93" s="3" t="s">
        <v>164</v>
      </c>
      <c r="Q93" s="3"/>
      <c r="R93" s="3"/>
      <c r="S93" s="3"/>
      <c r="T93" s="31" t="s">
        <v>157</v>
      </c>
      <c r="U93" s="52">
        <f>'Referenz Pflasterwerk'!AB26</f>
        <v>2665.0220039999999</v>
      </c>
      <c r="V93" s="52">
        <f>S175</f>
        <v>2883.2180039999994</v>
      </c>
      <c r="W93" s="52">
        <f>S243</f>
        <v>1723.3713791999999</v>
      </c>
      <c r="X93" s="3"/>
      <c r="Y93" s="115"/>
      <c r="Z93" s="115"/>
      <c r="AA93" s="63"/>
    </row>
    <row r="94" spans="2:27" ht="15.75" x14ac:dyDescent="0.3">
      <c r="B94" s="3"/>
      <c r="C94" s="3"/>
      <c r="D94" s="3"/>
      <c r="E94" s="3"/>
      <c r="F94" s="3"/>
      <c r="G94" s="3"/>
      <c r="H94" s="3"/>
      <c r="I94" s="3"/>
      <c r="J94" s="3"/>
      <c r="K94" s="3"/>
      <c r="L94" s="29" t="str">
        <f>D183</f>
        <v>Farben</v>
      </c>
      <c r="M94" s="26">
        <f>'Referenz Pflasterwerk'!S46</f>
        <v>1040</v>
      </c>
      <c r="N94" s="26">
        <f>H183</f>
        <v>1040</v>
      </c>
      <c r="O94" s="26">
        <f>H251</f>
        <v>1040</v>
      </c>
      <c r="P94" s="25" t="s">
        <v>164</v>
      </c>
      <c r="Q94" s="3"/>
      <c r="R94" s="3"/>
      <c r="S94" s="3"/>
      <c r="T94" s="31" t="s">
        <v>158</v>
      </c>
      <c r="U94" s="52">
        <f>'Referenz Pflasterwerk'!AB27</f>
        <v>7162.5</v>
      </c>
      <c r="V94" s="52">
        <f>S176</f>
        <v>10872.55361212364</v>
      </c>
      <c r="W94" s="52">
        <f>S244</f>
        <v>10845.359548150369</v>
      </c>
      <c r="X94" s="3"/>
      <c r="Y94" s="115"/>
      <c r="Z94" s="115"/>
      <c r="AA94" s="63"/>
    </row>
    <row r="95" spans="2:27" ht="15.75" x14ac:dyDescent="0.3">
      <c r="B95" s="3"/>
      <c r="C95" s="3"/>
      <c r="D95" s="3"/>
      <c r="E95" s="3"/>
      <c r="F95" s="3"/>
      <c r="G95" s="3"/>
      <c r="H95" s="3"/>
      <c r="I95" s="3"/>
      <c r="J95" s="3"/>
      <c r="K95" s="3"/>
      <c r="L95" s="8" t="str">
        <f>C185</f>
        <v>Zusatzstoffe (Füllstoffe)</v>
      </c>
      <c r="M95" s="9">
        <f>'Referenz Pflasterwerk'!S48</f>
        <v>424.19999999999993</v>
      </c>
      <c r="N95" s="9">
        <f>H185</f>
        <v>424.19999999999993</v>
      </c>
      <c r="O95" s="9">
        <f>H253</f>
        <v>424.19999999999993</v>
      </c>
      <c r="P95" s="3" t="s">
        <v>164</v>
      </c>
      <c r="Q95" s="3"/>
      <c r="R95" s="3"/>
      <c r="S95" s="3"/>
      <c r="T95" s="31" t="s">
        <v>159</v>
      </c>
      <c r="U95" s="52">
        <f>'Referenz Pflasterwerk'!AB28</f>
        <v>263015.57401117252</v>
      </c>
      <c r="V95" s="52">
        <f>S177</f>
        <v>472793.78617382917</v>
      </c>
      <c r="W95" s="52">
        <f>S245</f>
        <v>838677.4951387184</v>
      </c>
      <c r="X95" s="3"/>
      <c r="Y95" s="115"/>
      <c r="Z95" s="115"/>
      <c r="AA95" s="63"/>
    </row>
    <row r="96" spans="2:27" ht="16.5" thickBot="1" x14ac:dyDescent="0.35">
      <c r="B96" s="3"/>
      <c r="C96" s="3"/>
      <c r="D96" s="3"/>
      <c r="E96" s="3"/>
      <c r="F96" s="3"/>
      <c r="G96" s="3"/>
      <c r="H96" s="3"/>
      <c r="I96" s="3"/>
      <c r="J96" s="3"/>
      <c r="K96" s="3"/>
      <c r="L96" s="29" t="str">
        <f>C190</f>
        <v>Zusatzmittel</v>
      </c>
      <c r="M96" s="26">
        <f>'Referenz Pflasterwerk'!S53</f>
        <v>185.55932668689491</v>
      </c>
      <c r="N96" s="26">
        <f>H190</f>
        <v>185.55932668689491</v>
      </c>
      <c r="O96" s="26">
        <f>H258</f>
        <v>185.55932668689491</v>
      </c>
      <c r="P96" s="25" t="s">
        <v>164</v>
      </c>
      <c r="Q96" s="3"/>
      <c r="R96" s="3"/>
      <c r="S96" s="3"/>
      <c r="T96" s="27" t="s">
        <v>70</v>
      </c>
      <c r="U96" s="56">
        <f>U92+U91+U90+U89+U81</f>
        <v>445512.09601517254</v>
      </c>
      <c r="V96" s="56">
        <f t="shared" ref="V96:W96" si="3">V92+V91+V90+V89+V81</f>
        <v>796969.73112328607</v>
      </c>
      <c r="W96" s="56">
        <f t="shared" si="3"/>
        <v>1299417.5727327354</v>
      </c>
      <c r="X96" s="3"/>
      <c r="Y96" s="115"/>
      <c r="Z96" s="115"/>
      <c r="AA96" s="63"/>
    </row>
    <row r="97" spans="2:27" ht="16.5" thickTop="1" x14ac:dyDescent="0.3">
      <c r="B97" s="3"/>
      <c r="C97" s="3"/>
      <c r="D97" s="3"/>
      <c r="E97" s="3"/>
      <c r="F97" s="3"/>
      <c r="G97" s="3"/>
      <c r="H97" s="3"/>
      <c r="I97" s="3"/>
      <c r="J97" s="3"/>
      <c r="K97" s="3"/>
      <c r="L97" s="8" t="s">
        <v>194</v>
      </c>
      <c r="M97" s="9">
        <f>'Referenz Pflasterwerk'!S59+'Referenz Pflasterwerk'!S60</f>
        <v>5.4399999999999997E-2</v>
      </c>
      <c r="N97" s="9">
        <f>H196+H197</f>
        <v>5.4399999999999997E-2</v>
      </c>
      <c r="O97" s="9">
        <f>H264+H265</f>
        <v>5.4399999999999997E-2</v>
      </c>
      <c r="P97" s="3" t="s">
        <v>164</v>
      </c>
      <c r="Q97" s="3"/>
      <c r="R97" s="3"/>
      <c r="S97" s="3"/>
      <c r="T97" s="3"/>
      <c r="U97" s="3"/>
      <c r="V97" s="3"/>
      <c r="W97" s="3"/>
      <c r="X97" s="3"/>
      <c r="Y97" s="63"/>
      <c r="Z97" s="63"/>
      <c r="AA97" s="63"/>
    </row>
    <row r="98" spans="2:27" ht="16.5" thickBot="1" x14ac:dyDescent="0.35">
      <c r="B98" s="3"/>
      <c r="C98" s="3"/>
      <c r="D98" s="3"/>
      <c r="E98" s="3"/>
      <c r="F98" s="3"/>
      <c r="G98" s="3"/>
      <c r="H98" s="3"/>
      <c r="I98" s="3"/>
      <c r="J98" s="3"/>
      <c r="K98" s="3"/>
      <c r="L98" s="29" t="str">
        <f>C199</f>
        <v>Oberflächenschutzsysteme</v>
      </c>
      <c r="M98" s="26">
        <f>'Referenz Pflasterwerk'!S62</f>
        <v>0</v>
      </c>
      <c r="N98" s="26">
        <f>H199</f>
        <v>0</v>
      </c>
      <c r="O98" s="26">
        <f>H267</f>
        <v>0</v>
      </c>
      <c r="P98" s="25" t="s">
        <v>164</v>
      </c>
      <c r="Q98" s="3"/>
      <c r="R98" s="3"/>
      <c r="S98" s="3"/>
      <c r="T98" s="104" t="s">
        <v>211</v>
      </c>
      <c r="U98" s="105">
        <f>U96-U95</f>
        <v>182496.52200400003</v>
      </c>
      <c r="V98" s="105">
        <f>V96-V95</f>
        <v>324175.9449494569</v>
      </c>
      <c r="W98" s="105">
        <f>W96-W95</f>
        <v>460740.07759401703</v>
      </c>
      <c r="X98" s="3"/>
      <c r="Y98" s="3"/>
      <c r="Z98" s="3"/>
      <c r="AA98" s="3"/>
    </row>
    <row r="99" spans="2:27" ht="16.5" thickBot="1" x14ac:dyDescent="0.35">
      <c r="B99" s="3"/>
      <c r="C99" s="3"/>
      <c r="D99" s="3"/>
      <c r="E99" s="3"/>
      <c r="F99" s="3"/>
      <c r="G99" s="3"/>
      <c r="H99" s="3"/>
      <c r="I99" s="3"/>
      <c r="J99" s="3"/>
      <c r="K99" s="3"/>
      <c r="L99" s="8" t="str">
        <f>C204</f>
        <v>Oberflächenbearbeitung (vor/nach Erhärtung)</v>
      </c>
      <c r="M99" s="9">
        <f>'Referenz Pflasterwerk'!S67</f>
        <v>0</v>
      </c>
      <c r="N99" s="9">
        <f>H204</f>
        <v>0</v>
      </c>
      <c r="O99" s="9">
        <f>H272</f>
        <v>0</v>
      </c>
      <c r="P99" s="3" t="s">
        <v>164</v>
      </c>
      <c r="Q99" s="3"/>
      <c r="R99" s="3"/>
      <c r="S99" s="3"/>
      <c r="T99" s="106" t="s">
        <v>161</v>
      </c>
      <c r="U99" s="107">
        <f>U96-U92</f>
        <v>172669</v>
      </c>
      <c r="V99" s="107">
        <f>V96-V92</f>
        <v>310420.17333333328</v>
      </c>
      <c r="W99" s="107">
        <f>W96-W92</f>
        <v>448171.34666666668</v>
      </c>
      <c r="X99" s="3"/>
      <c r="Y99" s="3"/>
      <c r="Z99" s="3"/>
      <c r="AA99" s="3"/>
    </row>
    <row r="100" spans="2:27" ht="15.75" x14ac:dyDescent="0.3">
      <c r="B100" s="3"/>
      <c r="C100" s="3"/>
      <c r="D100" s="3"/>
      <c r="E100" s="3"/>
      <c r="F100" s="3"/>
      <c r="G100" s="3"/>
      <c r="H100" s="3"/>
      <c r="I100" s="3"/>
      <c r="J100" s="3"/>
      <c r="K100" s="3"/>
      <c r="L100" s="29" t="str">
        <f>D209</f>
        <v>Verpackungsmaterial</v>
      </c>
      <c r="M100" s="26">
        <f>'Referenz Pflasterwerk'!S72</f>
        <v>161.20000000000002</v>
      </c>
      <c r="N100" s="26">
        <f>H209</f>
        <v>161.20000000000002</v>
      </c>
      <c r="O100" s="26">
        <f>H277</f>
        <v>161.20000000000002</v>
      </c>
      <c r="P100" s="25" t="s">
        <v>164</v>
      </c>
      <c r="Q100" s="3"/>
      <c r="R100" s="3"/>
      <c r="S100" s="3"/>
      <c r="T100" s="3"/>
      <c r="U100" s="3"/>
      <c r="V100" s="3"/>
      <c r="W100" s="3"/>
      <c r="X100" s="3"/>
      <c r="Y100" s="3"/>
      <c r="Z100" s="3"/>
      <c r="AA100" s="3"/>
    </row>
    <row r="101" spans="2:27" ht="15" thickBot="1" x14ac:dyDescent="0.3">
      <c r="B101" s="3"/>
      <c r="C101" s="3"/>
      <c r="D101" s="3"/>
      <c r="E101" s="3"/>
      <c r="F101" s="3"/>
      <c r="G101" s="3"/>
      <c r="H101" s="3"/>
      <c r="I101" s="3"/>
      <c r="J101" s="3"/>
      <c r="K101" s="3"/>
      <c r="L101" s="27" t="s">
        <v>70</v>
      </c>
      <c r="M101" s="28">
        <f>SUM(M90:M100)</f>
        <v>10520.622960446897</v>
      </c>
      <c r="N101" s="28">
        <f t="shared" ref="N101" si="4">SUM(N90:N100)</f>
        <v>10506.528581640645</v>
      </c>
      <c r="O101" s="28">
        <f>SUM(O90:O100)</f>
        <v>10483.46868923398</v>
      </c>
      <c r="P101" s="27" t="s">
        <v>165</v>
      </c>
      <c r="Q101" s="3"/>
      <c r="R101" s="3"/>
      <c r="S101" s="3"/>
      <c r="T101" s="3"/>
      <c r="U101" s="3"/>
      <c r="V101" s="3"/>
      <c r="W101" s="3"/>
      <c r="X101" s="3"/>
      <c r="Y101" s="3"/>
      <c r="Z101" s="3"/>
      <c r="AA101" s="3"/>
    </row>
    <row r="102" spans="2:27" ht="13.5" thickTop="1" x14ac:dyDescent="0.2">
      <c r="B102" s="3"/>
      <c r="C102" s="3"/>
      <c r="D102" s="3"/>
      <c r="E102" s="3"/>
      <c r="F102" s="3"/>
      <c r="G102" s="3"/>
      <c r="H102" s="3"/>
      <c r="I102" s="3"/>
      <c r="J102" s="3"/>
      <c r="K102" s="3"/>
      <c r="L102" s="8"/>
      <c r="M102" s="82"/>
      <c r="N102" s="82"/>
      <c r="O102" s="82"/>
      <c r="P102" s="8"/>
      <c r="Q102" s="3"/>
      <c r="R102" s="3"/>
      <c r="S102" s="3"/>
      <c r="T102" s="3"/>
      <c r="U102" s="3"/>
      <c r="V102" s="3"/>
      <c r="W102" s="3"/>
      <c r="X102" s="3"/>
      <c r="Y102" s="3"/>
      <c r="Z102" s="3"/>
      <c r="AA102" s="3"/>
    </row>
    <row r="103" spans="2:27" x14ac:dyDescent="0.2">
      <c r="B103" s="3"/>
      <c r="C103" s="3"/>
      <c r="D103" s="3"/>
      <c r="E103" s="3"/>
      <c r="F103" s="3"/>
      <c r="G103" s="3"/>
      <c r="H103" s="3"/>
      <c r="I103" s="3"/>
      <c r="J103" s="3"/>
      <c r="K103" s="3"/>
      <c r="L103" s="8"/>
      <c r="M103" s="82"/>
      <c r="N103" s="82"/>
      <c r="O103" s="82"/>
      <c r="P103" s="8"/>
      <c r="Q103" s="3"/>
      <c r="R103" s="3"/>
      <c r="S103" s="3"/>
      <c r="T103" s="3"/>
      <c r="U103" s="3"/>
      <c r="V103" s="3"/>
      <c r="W103" s="3"/>
      <c r="X103" s="3"/>
      <c r="Y103" s="3"/>
      <c r="Z103" s="3"/>
      <c r="AA103" s="3"/>
    </row>
    <row r="104" spans="2:27" ht="15" x14ac:dyDescent="0.25">
      <c r="B104" s="3"/>
      <c r="C104" s="3"/>
      <c r="D104" s="3"/>
      <c r="E104" s="3"/>
      <c r="F104" s="3"/>
      <c r="G104" s="3"/>
      <c r="H104" s="3"/>
      <c r="I104" s="3"/>
      <c r="J104" s="3"/>
      <c r="K104" s="3"/>
      <c r="L104" s="23" t="s">
        <v>209</v>
      </c>
      <c r="M104" s="3"/>
      <c r="N104" s="3"/>
      <c r="O104" s="3"/>
      <c r="P104" s="3"/>
      <c r="Q104" s="3"/>
      <c r="R104" s="3"/>
      <c r="S104" s="3"/>
      <c r="T104" s="3"/>
      <c r="U104" s="3"/>
      <c r="V104" s="3"/>
      <c r="W104" s="3"/>
      <c r="X104" s="3"/>
      <c r="Y104" s="3"/>
      <c r="Z104" s="3"/>
      <c r="AA104" s="3"/>
    </row>
    <row r="105" spans="2:27" ht="15" x14ac:dyDescent="0.25">
      <c r="B105" s="3"/>
      <c r="C105" s="3"/>
      <c r="D105" s="3"/>
      <c r="E105" s="3"/>
      <c r="F105" s="3"/>
      <c r="G105" s="3"/>
      <c r="H105" s="3"/>
      <c r="I105" s="3"/>
      <c r="J105" s="3"/>
      <c r="K105" s="3"/>
      <c r="L105" s="34"/>
      <c r="M105" s="46">
        <v>2020</v>
      </c>
      <c r="N105" s="47">
        <v>2025</v>
      </c>
      <c r="O105" s="47">
        <v>2030</v>
      </c>
      <c r="P105" s="34"/>
      <c r="Q105" s="3"/>
      <c r="R105" s="3"/>
      <c r="S105" s="3"/>
      <c r="T105" s="3"/>
      <c r="U105" s="3"/>
      <c r="V105" s="3"/>
      <c r="W105" s="3"/>
      <c r="X105" s="3"/>
      <c r="Y105" s="3"/>
      <c r="Z105" s="3"/>
      <c r="AA105" s="3"/>
    </row>
    <row r="106" spans="2:27" x14ac:dyDescent="0.2">
      <c r="B106" s="3"/>
      <c r="C106" s="3"/>
      <c r="D106" s="3"/>
      <c r="E106" s="3"/>
      <c r="F106" s="3"/>
      <c r="G106" s="3"/>
      <c r="H106" s="3"/>
      <c r="I106" s="3"/>
      <c r="J106" s="3"/>
      <c r="K106" s="3"/>
      <c r="L106" s="24"/>
      <c r="M106" s="48" t="s">
        <v>92</v>
      </c>
      <c r="N106" s="49"/>
      <c r="O106" s="49"/>
      <c r="P106" s="24"/>
      <c r="Q106" s="3"/>
      <c r="R106" s="3"/>
      <c r="S106" s="3"/>
      <c r="T106" s="3"/>
      <c r="U106" s="3"/>
      <c r="V106" s="3"/>
      <c r="W106" s="3"/>
      <c r="X106" s="3"/>
      <c r="Y106" s="3"/>
      <c r="Z106" s="3"/>
      <c r="AA106" s="3"/>
    </row>
    <row r="107" spans="2:27" ht="15.75" x14ac:dyDescent="0.3">
      <c r="B107" s="3"/>
      <c r="C107" s="3"/>
      <c r="D107" s="3"/>
      <c r="E107" s="3"/>
      <c r="F107" s="3"/>
      <c r="G107" s="3"/>
      <c r="H107" s="3"/>
      <c r="I107" s="3"/>
      <c r="J107" s="3"/>
      <c r="K107" s="3"/>
      <c r="L107" s="29" t="s">
        <v>118</v>
      </c>
      <c r="M107" s="97">
        <f>M81/IF(NOT(ISBLANK('Referenz Pflasterwerk'!$I$12)),'Referenz Pflasterwerk'!$I$12,'Referenz Pflasterwerk'!$F$12)</f>
        <v>1.0660088015999999E-3</v>
      </c>
      <c r="N107" s="97">
        <f>N81/IF(NOT(ISBLANK('Referenz Pflasterwerk'!$I$12)),'Referenz Pflasterwerk'!$I$12,'Referenz Pflasterwerk'!$F$12)</f>
        <v>6.4071511199999991E-4</v>
      </c>
      <c r="O107" s="97">
        <f>O81/IF(NOT(ISBLANK('Referenz Pflasterwerk'!$I$12)),'Referenz Pflasterwerk'!$I$12,'Referenz Pflasterwerk'!$F$12)</f>
        <v>2.1542142239999997E-4</v>
      </c>
      <c r="P107" s="25" t="s">
        <v>208</v>
      </c>
      <c r="Q107" s="3"/>
      <c r="R107" s="3"/>
      <c r="S107" s="3"/>
      <c r="T107" s="3"/>
      <c r="U107" s="3"/>
      <c r="V107" s="3"/>
      <c r="W107" s="3"/>
      <c r="X107" s="3"/>
      <c r="Y107" s="3"/>
      <c r="Z107" s="3"/>
      <c r="AA107" s="3"/>
    </row>
    <row r="108" spans="2:27" ht="15.75" x14ac:dyDescent="0.3">
      <c r="B108" s="3"/>
      <c r="C108" s="3"/>
      <c r="D108" s="3"/>
      <c r="E108" s="3"/>
      <c r="F108" s="3"/>
      <c r="G108" s="3"/>
      <c r="H108" s="3"/>
      <c r="I108" s="3"/>
      <c r="J108" s="3"/>
      <c r="K108" s="3"/>
      <c r="L108" s="8" t="s">
        <v>28</v>
      </c>
      <c r="M108" s="98">
        <f>M82/IF(NOT(ISBLANK('Referenz Pflasterwerk'!$I$12)),'Referenz Pflasterwerk'!$I$12,'Referenz Pflasterwerk'!$F$12)</f>
        <v>2.8649999999999999E-3</v>
      </c>
      <c r="N108" s="98">
        <f>N82/IF(NOT(ISBLANK('Referenz Pflasterwerk'!$I$12)),'Referenz Pflasterwerk'!$I$12,'Referenz Pflasterwerk'!$F$12)</f>
        <v>2.4161230249163646E-3</v>
      </c>
      <c r="O108" s="98">
        <f>O82/IF(NOT(ISBLANK('Referenz Pflasterwerk'!$I$12)),'Referenz Pflasterwerk'!$I$12,'Referenz Pflasterwerk'!$F$12)</f>
        <v>1.355669943518796E-3</v>
      </c>
      <c r="P108" s="3" t="s">
        <v>208</v>
      </c>
      <c r="Q108" s="3"/>
      <c r="R108" s="3"/>
      <c r="S108" s="3"/>
      <c r="T108" s="3"/>
      <c r="U108" s="3"/>
      <c r="V108" s="3"/>
      <c r="W108" s="3"/>
      <c r="X108" s="3"/>
      <c r="Y108" s="3"/>
      <c r="Z108" s="3"/>
      <c r="AA108" s="3"/>
    </row>
    <row r="109" spans="2:27" ht="15.75" x14ac:dyDescent="0.3">
      <c r="B109" s="3"/>
      <c r="C109" s="3"/>
      <c r="D109" s="3"/>
      <c r="E109" s="3"/>
      <c r="F109" s="3"/>
      <c r="G109" s="3"/>
      <c r="H109" s="3"/>
      <c r="I109" s="3"/>
      <c r="J109" s="3"/>
      <c r="K109" s="3"/>
      <c r="L109" s="29" t="s">
        <v>29</v>
      </c>
      <c r="M109" s="97">
        <f>M83/IF(NOT(ISBLANK('Referenz Pflasterwerk'!$I$12)),'Referenz Pflasterwerk'!$I$12,'Referenz Pflasterwerk'!$F$12)</f>
        <v>0.10520622960446901</v>
      </c>
      <c r="N109" s="97">
        <f>N83/IF(NOT(ISBLANK('Referenz Pflasterwerk'!$I$12)),'Referenz Pflasterwerk'!$I$12,'Referenz Pflasterwerk'!$F$12)</f>
        <v>0.10506528581640649</v>
      </c>
      <c r="O109" s="97">
        <f>O83/IF(NOT(ISBLANK('Referenz Pflasterwerk'!$I$12)),'Referenz Pflasterwerk'!$I$12,'Referenz Pflasterwerk'!$F$12)</f>
        <v>0.1048346868923398</v>
      </c>
      <c r="P109" s="25" t="s">
        <v>208</v>
      </c>
      <c r="Q109" s="3"/>
      <c r="R109" s="3"/>
      <c r="S109" s="3"/>
      <c r="T109" s="3"/>
      <c r="U109" s="3"/>
      <c r="V109" s="3"/>
      <c r="W109" s="3"/>
      <c r="X109" s="3"/>
      <c r="Y109" s="3"/>
      <c r="Z109" s="3"/>
      <c r="AA109" s="3"/>
    </row>
    <row r="110" spans="2:27" ht="15" thickBot="1" x14ac:dyDescent="0.3">
      <c r="B110" s="3"/>
      <c r="C110" s="3"/>
      <c r="D110" s="3"/>
      <c r="E110" s="3"/>
      <c r="F110" s="3"/>
      <c r="G110" s="3"/>
      <c r="H110" s="3"/>
      <c r="I110" s="3"/>
      <c r="J110" s="3"/>
      <c r="K110" s="3"/>
      <c r="L110" s="27" t="s">
        <v>70</v>
      </c>
      <c r="M110" s="99">
        <f>M84/IF(NOT(ISBLANK('Referenz Pflasterwerk'!$I$12)),'Referenz Pflasterwerk'!$I$12,'Referenz Pflasterwerk'!$F$12)</f>
        <v>0.10913723840606901</v>
      </c>
      <c r="N110" s="99">
        <f>N84/IF(NOT(ISBLANK('Referenz Pflasterwerk'!$I$12)),'Referenz Pflasterwerk'!$I$12,'Referenz Pflasterwerk'!$F$12)</f>
        <v>0.10812212395332284</v>
      </c>
      <c r="O110" s="99">
        <f>O84/IF(NOT(ISBLANK('Referenz Pflasterwerk'!$I$12)),'Referenz Pflasterwerk'!$I$12,'Referenz Pflasterwerk'!$F$12)</f>
        <v>0.1064057782582586</v>
      </c>
      <c r="P110" s="27" t="s">
        <v>210</v>
      </c>
      <c r="Q110" s="3"/>
      <c r="R110" s="3"/>
      <c r="S110" s="3"/>
      <c r="T110" s="3"/>
      <c r="U110" s="3"/>
      <c r="V110" s="3"/>
      <c r="W110" s="3"/>
      <c r="X110" s="3"/>
      <c r="Y110" s="3"/>
      <c r="Z110" s="3"/>
      <c r="AA110" s="3"/>
    </row>
    <row r="111" spans="2:27" ht="13.5" thickTop="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2:27"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2:27"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6" spans="2:27" hidden="1" outlineLevel="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2:27" ht="15.75" hidden="1" outlineLevel="1" x14ac:dyDescent="0.25">
      <c r="B117" s="3"/>
      <c r="C117" s="3"/>
      <c r="D117" s="62" t="s">
        <v>146</v>
      </c>
      <c r="E117" s="3"/>
      <c r="F117" s="3"/>
      <c r="G117" s="3"/>
      <c r="H117" s="3"/>
      <c r="I117" s="3"/>
      <c r="J117" s="3"/>
      <c r="K117" s="3"/>
      <c r="L117" s="62" t="s">
        <v>146</v>
      </c>
      <c r="M117" s="3"/>
      <c r="N117" s="3"/>
      <c r="O117" s="3"/>
      <c r="P117" s="3"/>
      <c r="Q117" s="3"/>
      <c r="R117" s="3"/>
      <c r="S117" s="62" t="s">
        <v>146</v>
      </c>
      <c r="T117" s="24"/>
      <c r="U117" s="24"/>
      <c r="V117" s="24"/>
      <c r="W117" s="24"/>
      <c r="X117" s="3"/>
      <c r="Y117" s="3"/>
    </row>
    <row r="118" spans="2:27" ht="15" hidden="1" outlineLevel="1" x14ac:dyDescent="0.25">
      <c r="B118" s="3"/>
      <c r="C118" s="3"/>
      <c r="D118" s="35" t="s">
        <v>116</v>
      </c>
      <c r="E118" s="35">
        <v>2020</v>
      </c>
      <c r="F118" s="35">
        <v>2025</v>
      </c>
      <c r="G118" s="35">
        <v>2030</v>
      </c>
      <c r="H118" s="34"/>
      <c r="I118" s="3"/>
      <c r="J118" s="3"/>
      <c r="K118" s="3"/>
      <c r="L118" s="35" t="s">
        <v>265</v>
      </c>
      <c r="M118" s="35">
        <v>2020</v>
      </c>
      <c r="N118" s="35">
        <v>2025</v>
      </c>
      <c r="O118" s="35">
        <v>2030</v>
      </c>
      <c r="P118" s="34"/>
      <c r="Q118" s="3"/>
      <c r="R118" s="3"/>
      <c r="S118" s="3"/>
      <c r="T118" s="46" t="s">
        <v>200</v>
      </c>
      <c r="U118" s="47">
        <v>2020</v>
      </c>
      <c r="V118" s="47">
        <v>2025</v>
      </c>
      <c r="W118" s="47">
        <v>2030</v>
      </c>
      <c r="X118" s="3"/>
      <c r="Y118" s="3"/>
    </row>
    <row r="119" spans="2:27" hidden="1" outlineLevel="1" x14ac:dyDescent="0.2">
      <c r="B119" s="3"/>
      <c r="C119" s="3"/>
      <c r="D119" s="24"/>
      <c r="E119" s="60" t="s">
        <v>92</v>
      </c>
      <c r="F119" s="59"/>
      <c r="G119" s="59"/>
      <c r="H119" s="24"/>
      <c r="I119" s="3"/>
      <c r="J119" s="3"/>
      <c r="K119" s="3"/>
      <c r="L119" s="24"/>
      <c r="M119" s="60" t="s">
        <v>92</v>
      </c>
      <c r="N119" s="59"/>
      <c r="O119" s="59"/>
      <c r="P119" s="24"/>
      <c r="Q119" s="3"/>
      <c r="R119" s="3"/>
      <c r="S119" s="3"/>
      <c r="T119" s="24"/>
      <c r="U119" s="50" t="s">
        <v>92</v>
      </c>
      <c r="V119" s="50"/>
      <c r="W119" s="59"/>
      <c r="X119" s="3"/>
      <c r="Y119" s="3"/>
    </row>
    <row r="120" spans="2:27" ht="15.75" hidden="1" outlineLevel="1" x14ac:dyDescent="0.3">
      <c r="B120" s="3"/>
      <c r="C120" s="3"/>
      <c r="D120" s="3" t="str">
        <f t="shared" ref="D120:D126" si="5">IF($I120,D81,"")</f>
        <v/>
      </c>
      <c r="E120" s="10" t="e">
        <f t="shared" ref="E120:G126" si="6">IF($I120,E81,NA())</f>
        <v>#N/A</v>
      </c>
      <c r="F120" s="10" t="e">
        <f t="shared" si="6"/>
        <v>#N/A</v>
      </c>
      <c r="G120" s="10" t="e">
        <f t="shared" si="6"/>
        <v>#N/A</v>
      </c>
      <c r="H120" s="3" t="s">
        <v>164</v>
      </c>
      <c r="I120" s="361" t="b">
        <v>0</v>
      </c>
      <c r="J120" s="3"/>
      <c r="K120" s="3"/>
      <c r="L120" s="3" t="str">
        <f t="shared" ref="L120:L130" si="7">IF($Q120,L90,"")</f>
        <v>Energieträger gesamt</v>
      </c>
      <c r="M120" s="9">
        <f>IF($Q120,M90,NA())</f>
        <v>60.712972560000004</v>
      </c>
      <c r="N120" s="9">
        <f>IF($Q120,N90,NA())</f>
        <v>46.61859375374776</v>
      </c>
      <c r="O120" s="9">
        <f t="shared" ref="O120" si="8">IF($Q120,O90,NA())</f>
        <v>23.558701347081822</v>
      </c>
      <c r="P120" s="3" t="s">
        <v>164</v>
      </c>
      <c r="Q120" s="3" t="b">
        <v>1</v>
      </c>
      <c r="R120" s="3"/>
      <c r="S120" s="3"/>
      <c r="T120" s="57" t="s">
        <v>160</v>
      </c>
      <c r="U120" s="58">
        <f>SUM(U121:U127)</f>
        <v>172669</v>
      </c>
      <c r="V120" s="58">
        <f t="shared" ref="V120:W120" si="9">SUM(V121:V127)</f>
        <v>175420.17333333334</v>
      </c>
      <c r="W120" s="58">
        <f t="shared" si="9"/>
        <v>178171.34666666668</v>
      </c>
      <c r="X120" s="3"/>
      <c r="Y120" s="3"/>
    </row>
    <row r="121" spans="2:27" ht="15.75" hidden="1" outlineLevel="1" x14ac:dyDescent="0.3">
      <c r="B121" s="3"/>
      <c r="C121" s="3"/>
      <c r="D121" s="3" t="str">
        <f t="shared" si="5"/>
        <v/>
      </c>
      <c r="E121" s="10" t="e">
        <f t="shared" si="6"/>
        <v>#N/A</v>
      </c>
      <c r="F121" s="10" t="e">
        <f t="shared" si="6"/>
        <v>#N/A</v>
      </c>
      <c r="G121" s="10" t="e">
        <f t="shared" si="6"/>
        <v>#N/A</v>
      </c>
      <c r="H121" s="3" t="s">
        <v>164</v>
      </c>
      <c r="I121" s="361" t="b">
        <v>0</v>
      </c>
      <c r="J121" s="3"/>
      <c r="K121" s="3"/>
      <c r="L121" s="3" t="str">
        <f t="shared" si="7"/>
        <v>Transport gesamt</v>
      </c>
      <c r="M121" s="9">
        <f t="shared" ref="M121:O130" si="10">IF($Q121,M91,NA())</f>
        <v>578.62626120000004</v>
      </c>
      <c r="N121" s="9">
        <f t="shared" si="10"/>
        <v>578.62626120000004</v>
      </c>
      <c r="O121" s="9">
        <f t="shared" si="10"/>
        <v>578.62626120000004</v>
      </c>
      <c r="P121" s="3" t="s">
        <v>164</v>
      </c>
      <c r="Q121" s="3" t="b">
        <v>1</v>
      </c>
      <c r="R121" s="3"/>
      <c r="S121" s="3"/>
      <c r="T121" s="31" t="s">
        <v>32</v>
      </c>
      <c r="U121" s="52">
        <f>U82</f>
        <v>2745</v>
      </c>
      <c r="V121" s="52">
        <f t="shared" ref="V121:W121" si="11">V82</f>
        <v>2745</v>
      </c>
      <c r="W121" s="52">
        <f t="shared" si="11"/>
        <v>2745</v>
      </c>
      <c r="X121" s="3"/>
      <c r="Y121" s="3"/>
    </row>
    <row r="122" spans="2:27" ht="15.75" hidden="1" outlineLevel="1" x14ac:dyDescent="0.3">
      <c r="B122" s="3"/>
      <c r="C122" s="3"/>
      <c r="D122" s="3" t="str">
        <f t="shared" si="5"/>
        <v>Strom</v>
      </c>
      <c r="E122" s="10">
        <f t="shared" si="6"/>
        <v>286.5</v>
      </c>
      <c r="F122" s="10">
        <f t="shared" si="6"/>
        <v>241.61230249163646</v>
      </c>
      <c r="G122" s="10">
        <f t="shared" si="6"/>
        <v>135.5669943518796</v>
      </c>
      <c r="H122" s="3" t="s">
        <v>164</v>
      </c>
      <c r="I122" s="361" t="b">
        <v>1</v>
      </c>
      <c r="J122" s="3"/>
      <c r="K122" s="3"/>
      <c r="L122" s="3" t="str">
        <f t="shared" si="7"/>
        <v>Zement</v>
      </c>
      <c r="M122" s="9">
        <f t="shared" si="10"/>
        <v>7683.24</v>
      </c>
      <c r="N122" s="9">
        <f t="shared" si="10"/>
        <v>7683.24</v>
      </c>
      <c r="O122" s="9">
        <f t="shared" si="10"/>
        <v>7683.24</v>
      </c>
      <c r="P122" s="3" t="s">
        <v>164</v>
      </c>
      <c r="Q122" s="3" t="b">
        <v>1</v>
      </c>
      <c r="R122" s="3"/>
      <c r="S122" s="3"/>
      <c r="T122" s="31" t="s">
        <v>33</v>
      </c>
      <c r="U122" s="52">
        <f t="shared" ref="U122:W127" si="12">U83</f>
        <v>460</v>
      </c>
      <c r="V122" s="52">
        <f t="shared" si="12"/>
        <v>460</v>
      </c>
      <c r="W122" s="52">
        <f t="shared" si="12"/>
        <v>460</v>
      </c>
      <c r="X122" s="3"/>
      <c r="Y122" s="3"/>
    </row>
    <row r="123" spans="2:27" ht="15.75" hidden="1" outlineLevel="1" x14ac:dyDescent="0.3">
      <c r="B123" s="3"/>
      <c r="C123" s="3"/>
      <c r="D123" s="3" t="str">
        <f t="shared" si="5"/>
        <v/>
      </c>
      <c r="E123" s="10" t="e">
        <f t="shared" si="6"/>
        <v>#N/A</v>
      </c>
      <c r="F123" s="10" t="e">
        <f t="shared" si="6"/>
        <v>#N/A</v>
      </c>
      <c r="G123" s="10" t="e">
        <f t="shared" si="6"/>
        <v>#N/A</v>
      </c>
      <c r="H123" s="3" t="s">
        <v>164</v>
      </c>
      <c r="I123" s="361" t="b">
        <v>0</v>
      </c>
      <c r="J123" s="3"/>
      <c r="K123" s="3"/>
      <c r="L123" s="3" t="str">
        <f t="shared" si="7"/>
        <v>Gesteinskörnungen (Zuschlagsstoffe)</v>
      </c>
      <c r="M123" s="9">
        <f t="shared" si="10"/>
        <v>387.03000000000003</v>
      </c>
      <c r="N123" s="9">
        <f t="shared" si="10"/>
        <v>387.03000000000003</v>
      </c>
      <c r="O123" s="9">
        <f t="shared" si="10"/>
        <v>387.03000000000003</v>
      </c>
      <c r="P123" s="3" t="s">
        <v>164</v>
      </c>
      <c r="Q123" s="3" t="b">
        <v>1</v>
      </c>
      <c r="R123" s="3"/>
      <c r="S123" s="3"/>
      <c r="T123" s="31" t="s">
        <v>34</v>
      </c>
      <c r="U123" s="52">
        <f t="shared" si="12"/>
        <v>129000</v>
      </c>
      <c r="V123" s="52">
        <f t="shared" si="12"/>
        <v>149735.17333333334</v>
      </c>
      <c r="W123" s="52">
        <f t="shared" si="12"/>
        <v>170470.34666666668</v>
      </c>
      <c r="X123" s="3"/>
      <c r="Y123" s="3"/>
    </row>
    <row r="124" spans="2:27" ht="15.75" hidden="1" outlineLevel="1" x14ac:dyDescent="0.3">
      <c r="B124" s="3"/>
      <c r="C124" s="3"/>
      <c r="D124" s="3" t="str">
        <f t="shared" si="5"/>
        <v/>
      </c>
      <c r="E124" s="10" t="e">
        <f t="shared" si="6"/>
        <v>#N/A</v>
      </c>
      <c r="F124" s="10" t="e">
        <f t="shared" si="6"/>
        <v>#N/A</v>
      </c>
      <c r="G124" s="10" t="e">
        <f t="shared" si="6"/>
        <v>#N/A</v>
      </c>
      <c r="H124" s="3" t="s">
        <v>164</v>
      </c>
      <c r="I124" s="361" t="b">
        <v>0</v>
      </c>
      <c r="J124" s="3"/>
      <c r="K124" s="3"/>
      <c r="L124" s="3" t="str">
        <f t="shared" si="7"/>
        <v>Farben</v>
      </c>
      <c r="M124" s="9">
        <f t="shared" si="10"/>
        <v>1040</v>
      </c>
      <c r="N124" s="9">
        <f t="shared" si="10"/>
        <v>1040</v>
      </c>
      <c r="O124" s="9">
        <f t="shared" si="10"/>
        <v>1040</v>
      </c>
      <c r="P124" s="3" t="s">
        <v>164</v>
      </c>
      <c r="Q124" s="3" t="b">
        <v>1</v>
      </c>
      <c r="R124" s="3"/>
      <c r="S124" s="3"/>
      <c r="T124" s="31" t="s">
        <v>125</v>
      </c>
      <c r="U124" s="52">
        <f t="shared" si="12"/>
        <v>0</v>
      </c>
      <c r="V124" s="52">
        <f t="shared" si="12"/>
        <v>0</v>
      </c>
      <c r="W124" s="52">
        <f t="shared" si="12"/>
        <v>0</v>
      </c>
      <c r="X124" s="3"/>
      <c r="Y124" s="3"/>
    </row>
    <row r="125" spans="2:27" ht="15.75" hidden="1" outlineLevel="1" x14ac:dyDescent="0.3">
      <c r="B125" s="3"/>
      <c r="C125" s="3"/>
      <c r="D125" s="3" t="str">
        <f t="shared" si="5"/>
        <v/>
      </c>
      <c r="E125" s="10" t="e">
        <f t="shared" si="6"/>
        <v>#N/A</v>
      </c>
      <c r="F125" s="10" t="e">
        <f t="shared" si="6"/>
        <v>#N/A</v>
      </c>
      <c r="G125" s="10" t="e">
        <f t="shared" si="6"/>
        <v>#N/A</v>
      </c>
      <c r="H125" s="3" t="s">
        <v>164</v>
      </c>
      <c r="I125" s="361" t="b">
        <v>0</v>
      </c>
      <c r="J125" s="3"/>
      <c r="K125" s="3"/>
      <c r="L125" s="3" t="str">
        <f t="shared" si="7"/>
        <v>Zusatzstoffe (Füllstoffe)</v>
      </c>
      <c r="M125" s="9">
        <f t="shared" si="10"/>
        <v>424.19999999999993</v>
      </c>
      <c r="N125" s="9">
        <f t="shared" si="10"/>
        <v>424.19999999999993</v>
      </c>
      <c r="O125" s="9">
        <f t="shared" si="10"/>
        <v>424.19999999999993</v>
      </c>
      <c r="P125" s="3" t="s">
        <v>164</v>
      </c>
      <c r="Q125" s="3" t="b">
        <v>1</v>
      </c>
      <c r="R125" s="3"/>
      <c r="S125" s="3"/>
      <c r="T125" s="31" t="s">
        <v>126</v>
      </c>
      <c r="U125" s="52">
        <f t="shared" si="12"/>
        <v>0</v>
      </c>
      <c r="V125" s="52">
        <f t="shared" si="12"/>
        <v>0</v>
      </c>
      <c r="W125" s="52">
        <f t="shared" si="12"/>
        <v>0</v>
      </c>
      <c r="X125" s="3"/>
      <c r="Y125" s="3"/>
    </row>
    <row r="126" spans="2:27" ht="15.75" hidden="1" outlineLevel="1" x14ac:dyDescent="0.3">
      <c r="B126" s="3"/>
      <c r="C126" s="3"/>
      <c r="D126" s="3" t="str">
        <f t="shared" si="5"/>
        <v>Diesel</v>
      </c>
      <c r="E126" s="10">
        <f t="shared" si="6"/>
        <v>95.691080159999984</v>
      </c>
      <c r="F126" s="10">
        <f t="shared" si="6"/>
        <v>53.161711199999992</v>
      </c>
      <c r="G126" s="10">
        <f>IF($I126,G87,NA())</f>
        <v>10.632342239999998</v>
      </c>
      <c r="H126" s="3" t="s">
        <v>164</v>
      </c>
      <c r="I126" s="361" t="b">
        <v>1</v>
      </c>
      <c r="J126" s="3"/>
      <c r="K126" s="3"/>
      <c r="L126" s="3" t="str">
        <f t="shared" si="7"/>
        <v>Zusatzmittel</v>
      </c>
      <c r="M126" s="9">
        <f t="shared" si="10"/>
        <v>185.55932668689491</v>
      </c>
      <c r="N126" s="9">
        <f t="shared" si="10"/>
        <v>185.55932668689491</v>
      </c>
      <c r="O126" s="9">
        <f t="shared" si="10"/>
        <v>185.55932668689491</v>
      </c>
      <c r="P126" s="3" t="s">
        <v>164</v>
      </c>
      <c r="Q126" s="3" t="b">
        <v>1</v>
      </c>
      <c r="R126" s="3"/>
      <c r="S126" s="3"/>
      <c r="T126" s="31" t="s">
        <v>127</v>
      </c>
      <c r="U126" s="52">
        <f t="shared" si="12"/>
        <v>0</v>
      </c>
      <c r="V126" s="52">
        <f t="shared" si="12"/>
        <v>0</v>
      </c>
      <c r="W126" s="52">
        <f t="shared" si="12"/>
        <v>0</v>
      </c>
      <c r="X126" s="3"/>
      <c r="Y126" s="3"/>
    </row>
    <row r="127" spans="2:27" ht="16.5" hidden="1" outlineLevel="1" thickBot="1" x14ac:dyDescent="0.35">
      <c r="B127" s="3"/>
      <c r="C127" s="3"/>
      <c r="D127" s="27" t="s">
        <v>70</v>
      </c>
      <c r="E127" s="33">
        <f>SUMIF($I$120:$I$126,"WAHR",E120:E126)</f>
        <v>382.19108015999996</v>
      </c>
      <c r="F127" s="33">
        <f>SUMIF($I$120:$I$126,"WAHR",F120:F126)</f>
        <v>294.77401369163647</v>
      </c>
      <c r="G127" s="33">
        <f>SUMIF($I$120:$I$126,"WAHR",G120:G126)</f>
        <v>146.19933659187959</v>
      </c>
      <c r="H127" s="27" t="s">
        <v>165</v>
      </c>
      <c r="I127" s="3"/>
      <c r="J127" s="3"/>
      <c r="K127" s="3"/>
      <c r="L127" s="3" t="str">
        <f t="shared" si="7"/>
        <v/>
      </c>
      <c r="M127" s="9" t="e">
        <f t="shared" si="10"/>
        <v>#N/A</v>
      </c>
      <c r="N127" s="9" t="e">
        <f t="shared" si="10"/>
        <v>#N/A</v>
      </c>
      <c r="O127" s="9" t="e">
        <f t="shared" si="10"/>
        <v>#N/A</v>
      </c>
      <c r="P127" s="3" t="s">
        <v>164</v>
      </c>
      <c r="Q127" s="3" t="b">
        <v>0</v>
      </c>
      <c r="R127" s="3"/>
      <c r="S127" s="3"/>
      <c r="T127" s="51" t="s">
        <v>35</v>
      </c>
      <c r="U127" s="53">
        <f t="shared" si="12"/>
        <v>40464.000000000007</v>
      </c>
      <c r="V127" s="54">
        <f t="shared" si="12"/>
        <v>22480</v>
      </c>
      <c r="W127" s="54">
        <f t="shared" si="12"/>
        <v>4496</v>
      </c>
      <c r="X127" s="3"/>
      <c r="Y127" s="3"/>
    </row>
    <row r="128" spans="2:27" ht="16.5" hidden="1" outlineLevel="1" thickTop="1" x14ac:dyDescent="0.3">
      <c r="B128" s="3"/>
      <c r="C128" s="3"/>
      <c r="D128" s="3"/>
      <c r="E128" s="3"/>
      <c r="F128" s="3"/>
      <c r="G128" s="3"/>
      <c r="H128" s="3"/>
      <c r="I128" s="3"/>
      <c r="J128" s="3"/>
      <c r="K128" s="3"/>
      <c r="L128" s="3" t="str">
        <f t="shared" si="7"/>
        <v/>
      </c>
      <c r="M128" s="9" t="e">
        <f t="shared" si="10"/>
        <v>#N/A</v>
      </c>
      <c r="N128" s="9" t="e">
        <f t="shared" si="10"/>
        <v>#N/A</v>
      </c>
      <c r="O128" s="9" t="e">
        <f t="shared" si="10"/>
        <v>#N/A</v>
      </c>
      <c r="P128" s="3" t="s">
        <v>164</v>
      </c>
      <c r="Q128" s="3" t="b">
        <v>0</v>
      </c>
      <c r="R128" s="3"/>
      <c r="S128" s="3"/>
      <c r="T128" s="8" t="str">
        <f>IF(X128,"CAPEX","")</f>
        <v>CAPEX</v>
      </c>
      <c r="U128" s="55">
        <f>IF($X128,U89,NA())</f>
        <v>0</v>
      </c>
      <c r="V128" s="55">
        <f t="shared" ref="V128:W130" si="13">IF($X128,V89,NA())</f>
        <v>135000</v>
      </c>
      <c r="W128" s="55">
        <f t="shared" si="13"/>
        <v>270000</v>
      </c>
      <c r="X128" s="361" t="b">
        <v>1</v>
      </c>
      <c r="Y128" s="3"/>
    </row>
    <row r="129" spans="2:25" ht="15.75" hidden="1" outlineLevel="1" x14ac:dyDescent="0.3">
      <c r="B129" s="3"/>
      <c r="C129" s="3"/>
      <c r="D129" s="3"/>
      <c r="E129" s="3"/>
      <c r="F129" s="3"/>
      <c r="G129" s="3"/>
      <c r="H129" s="3"/>
      <c r="I129" s="3"/>
      <c r="J129" s="3"/>
      <c r="K129" s="3"/>
      <c r="L129" s="3" t="str">
        <f t="shared" si="7"/>
        <v/>
      </c>
      <c r="M129" s="9" t="e">
        <f t="shared" si="10"/>
        <v>#N/A</v>
      </c>
      <c r="N129" s="9" t="e">
        <f t="shared" si="10"/>
        <v>#N/A</v>
      </c>
      <c r="O129" s="9" t="e">
        <f t="shared" si="10"/>
        <v>#N/A</v>
      </c>
      <c r="P129" s="3" t="s">
        <v>164</v>
      </c>
      <c r="Q129" s="3" t="b">
        <v>0</v>
      </c>
      <c r="R129" s="3"/>
      <c r="S129" s="3"/>
      <c r="T129" s="8" t="str">
        <f>IF(X129,"Zusätzliche jährliche Kosten","")</f>
        <v/>
      </c>
      <c r="U129" s="55" t="e">
        <f>IF($X129,U90,NA())</f>
        <v>#N/A</v>
      </c>
      <c r="V129" s="55" t="e">
        <f t="shared" si="13"/>
        <v>#N/A</v>
      </c>
      <c r="W129" s="55" t="e">
        <f t="shared" si="13"/>
        <v>#N/A</v>
      </c>
      <c r="X129" s="361" t="b">
        <v>0</v>
      </c>
      <c r="Y129" s="3"/>
    </row>
    <row r="130" spans="2:25" ht="15.75" hidden="1" outlineLevel="1" x14ac:dyDescent="0.3">
      <c r="B130" s="3"/>
      <c r="C130" s="3"/>
      <c r="D130" s="3"/>
      <c r="E130" s="3"/>
      <c r="F130" s="3"/>
      <c r="G130" s="3"/>
      <c r="H130" s="3"/>
      <c r="I130" s="3"/>
      <c r="J130" s="3"/>
      <c r="K130" s="3"/>
      <c r="L130" s="3" t="str">
        <f t="shared" si="7"/>
        <v>Verpackungsmaterial</v>
      </c>
      <c r="M130" s="9">
        <f t="shared" si="10"/>
        <v>161.20000000000002</v>
      </c>
      <c r="N130" s="9">
        <f t="shared" si="10"/>
        <v>161.20000000000002</v>
      </c>
      <c r="O130" s="9">
        <f t="shared" si="10"/>
        <v>161.20000000000002</v>
      </c>
      <c r="P130" s="3" t="s">
        <v>164</v>
      </c>
      <c r="Q130" s="3" t="b">
        <v>1</v>
      </c>
      <c r="R130" s="3"/>
      <c r="S130" s="3"/>
      <c r="T130" s="59" t="str">
        <f>IF(X130,"Einmalige Kosten","")</f>
        <v/>
      </c>
      <c r="U130" s="55" t="e">
        <f>IF($X130,U91,NA())</f>
        <v>#N/A</v>
      </c>
      <c r="V130" s="55" t="e">
        <f t="shared" si="13"/>
        <v>#N/A</v>
      </c>
      <c r="W130" s="55" t="e">
        <f t="shared" si="13"/>
        <v>#N/A</v>
      </c>
      <c r="X130" s="361" t="b">
        <v>0</v>
      </c>
      <c r="Y130" s="3"/>
    </row>
    <row r="131" spans="2:25" ht="15" hidden="1" outlineLevel="1" thickBot="1" x14ac:dyDescent="0.3">
      <c r="B131" s="3"/>
      <c r="C131" s="3"/>
      <c r="D131" s="3"/>
      <c r="E131" s="3"/>
      <c r="F131" s="3"/>
      <c r="G131" s="3"/>
      <c r="H131" s="3"/>
      <c r="I131" s="3"/>
      <c r="J131" s="3"/>
      <c r="K131" s="3"/>
      <c r="L131" s="27" t="s">
        <v>70</v>
      </c>
      <c r="M131" s="28">
        <f>SUMIF($Q$120:$Q$130,"WAHR",M120:M130)</f>
        <v>10520.568560446896</v>
      </c>
      <c r="N131" s="28">
        <f t="shared" ref="N131:O131" si="14">SUMIF($Q$120:$Q$130,"WAHR",N120:N130)</f>
        <v>10506.474181640644</v>
      </c>
      <c r="O131" s="28">
        <f t="shared" si="14"/>
        <v>10483.414289233979</v>
      </c>
      <c r="P131" s="27" t="s">
        <v>165</v>
      </c>
      <c r="Q131" s="3"/>
      <c r="R131" s="3"/>
      <c r="S131" s="3"/>
      <c r="T131" s="57" t="str">
        <f>IF(X131,"CO2-Kosten","")</f>
        <v>CO2-Kosten</v>
      </c>
      <c r="U131" s="58">
        <f>IF($X$131,SUMIF($X$132:$X$134,"WAHR",U132:U134),NA())</f>
        <v>272843.09601517254</v>
      </c>
      <c r="V131" s="58">
        <f t="shared" ref="V131:W131" si="15">IF($X$131,SUMIF($X$132:$X$134,"WAHR",V132:V134),NA())</f>
        <v>486549.55778995279</v>
      </c>
      <c r="W131" s="58">
        <f t="shared" si="15"/>
        <v>851246.22606606875</v>
      </c>
      <c r="X131" s="361" t="b">
        <v>1</v>
      </c>
      <c r="Y131" s="3"/>
    </row>
    <row r="132" spans="2:25" ht="16.5" hidden="1" outlineLevel="1" thickTop="1" x14ac:dyDescent="0.3">
      <c r="B132" s="3"/>
      <c r="C132" s="3"/>
      <c r="D132" s="3"/>
      <c r="E132" s="3"/>
      <c r="F132" s="3"/>
      <c r="G132" s="3"/>
      <c r="H132" s="3"/>
      <c r="I132" s="3"/>
      <c r="J132" s="3"/>
      <c r="K132" s="3"/>
      <c r="L132" s="3"/>
      <c r="M132" s="3"/>
      <c r="N132" s="3"/>
      <c r="O132" s="3"/>
      <c r="P132" s="3"/>
      <c r="Q132" s="3"/>
      <c r="R132" s="3"/>
      <c r="S132" s="3"/>
      <c r="T132" s="31" t="s">
        <v>157</v>
      </c>
      <c r="U132" s="52">
        <f>IF($X132,U93,NA())</f>
        <v>2665.0220039999999</v>
      </c>
      <c r="V132" s="52">
        <f t="shared" ref="V132:W132" si="16">IF($X132,V93,NA())</f>
        <v>2883.2180039999994</v>
      </c>
      <c r="W132" s="52">
        <f t="shared" si="16"/>
        <v>1723.3713791999999</v>
      </c>
      <c r="X132" s="361" t="b">
        <v>1</v>
      </c>
      <c r="Y132" s="3"/>
    </row>
    <row r="133" spans="2:25" ht="15.75" hidden="1" outlineLevel="1" x14ac:dyDescent="0.3">
      <c r="B133" s="3"/>
      <c r="C133" s="3"/>
      <c r="D133" s="3"/>
      <c r="E133" s="3"/>
      <c r="F133" s="3"/>
      <c r="G133" s="3"/>
      <c r="H133" s="3"/>
      <c r="I133" s="3"/>
      <c r="J133" s="3"/>
      <c r="K133" s="3"/>
      <c r="L133" s="3"/>
      <c r="M133" s="3"/>
      <c r="N133" s="3"/>
      <c r="O133" s="3"/>
      <c r="P133" s="3"/>
      <c r="Q133" s="3"/>
      <c r="R133" s="3"/>
      <c r="S133" s="3"/>
      <c r="T133" s="31" t="s">
        <v>158</v>
      </c>
      <c r="U133" s="52">
        <f t="shared" ref="U133:W134" si="17">IF($X133,U94,NA())</f>
        <v>7162.5</v>
      </c>
      <c r="V133" s="52">
        <f t="shared" si="17"/>
        <v>10872.55361212364</v>
      </c>
      <c r="W133" s="52">
        <f t="shared" si="17"/>
        <v>10845.359548150369</v>
      </c>
      <c r="X133" s="361" t="b">
        <v>1</v>
      </c>
      <c r="Y133" s="3"/>
    </row>
    <row r="134" spans="2:25" ht="15.75" hidden="1" outlineLevel="1" x14ac:dyDescent="0.3">
      <c r="B134" s="3"/>
      <c r="C134" s="3"/>
      <c r="D134" s="3"/>
      <c r="E134" s="3"/>
      <c r="F134" s="3"/>
      <c r="G134" s="3"/>
      <c r="H134" s="3"/>
      <c r="I134" s="3"/>
      <c r="J134" s="3"/>
      <c r="K134" s="3"/>
      <c r="L134" s="3"/>
      <c r="M134" s="3"/>
      <c r="N134" s="3"/>
      <c r="O134" s="3"/>
      <c r="P134" s="3"/>
      <c r="Q134" s="3"/>
      <c r="R134" s="3"/>
      <c r="S134" s="3"/>
      <c r="T134" s="31" t="s">
        <v>159</v>
      </c>
      <c r="U134" s="52">
        <f t="shared" si="17"/>
        <v>263015.57401117252</v>
      </c>
      <c r="V134" s="52">
        <f t="shared" si="17"/>
        <v>472793.78617382917</v>
      </c>
      <c r="W134" s="52">
        <f t="shared" si="17"/>
        <v>838677.4951387184</v>
      </c>
      <c r="X134" s="361" t="b">
        <v>1</v>
      </c>
      <c r="Y134" s="3"/>
    </row>
    <row r="135" spans="2:25" ht="13.5" hidden="1" outlineLevel="1" thickBot="1" x14ac:dyDescent="0.25">
      <c r="B135" s="3"/>
      <c r="C135" s="3"/>
      <c r="D135" s="102" t="str">
        <f>IF($G$16&gt;0,"Bitte den Handeingabewert 'Umstellung Dieselstapler' für 2030 und ggf. 2025 auch anpassen. Diese Werte dürfen nicht größer Ihrer Handeingabe 'Anzahl Dieselstapler im Werk' sein. Ansonsten ist die Berechnung fehlerhaft.","")</f>
        <v/>
      </c>
      <c r="E135" s="3"/>
      <c r="F135" s="3"/>
      <c r="G135" s="3"/>
      <c r="H135" s="3"/>
      <c r="I135" s="3"/>
      <c r="J135" s="3"/>
      <c r="K135" s="3"/>
      <c r="L135" s="3"/>
      <c r="M135" s="3"/>
      <c r="N135" s="3"/>
      <c r="O135" s="3"/>
      <c r="P135" s="3"/>
      <c r="Q135" s="3"/>
      <c r="R135" s="3"/>
      <c r="S135" s="3"/>
      <c r="T135" s="27" t="s">
        <v>70</v>
      </c>
      <c r="U135" s="56">
        <f>IF($X$131,U131,0)+IF($X$130,U130,0)+IF($X$129,U129,0)+IF($X$128,U128,0)+U120</f>
        <v>445512.09601517254</v>
      </c>
      <c r="V135" s="56">
        <f t="shared" ref="V135:W135" si="18">IF($X$131,V131,0)+IF($X$130,V130,0)+IF($X$129,V129,0)+IF($X$128,V128,0)+V120</f>
        <v>796969.73112328607</v>
      </c>
      <c r="W135" s="56">
        <f t="shared" si="18"/>
        <v>1299417.5727327354</v>
      </c>
      <c r="X135" s="3"/>
      <c r="Y135" s="3"/>
    </row>
    <row r="136" spans="2:25" ht="13.5" hidden="1" outlineLevel="1" thickTop="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hidden="1" outlineLevel="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hidden="1" outlineLevel="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hidden="1" outlineLevel="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hidden="1" outlineLevel="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2:25" hidden="1" outlineLevel="1"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2:25" hidden="1" outlineLevel="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2:25" hidden="1" outlineLevel="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2:25" collapsed="1" x14ac:dyDescent="0.2"/>
    <row r="146" spans="2:20" ht="15.75" hidden="1" outlineLevel="1" x14ac:dyDescent="0.25">
      <c r="B146" s="22"/>
      <c r="C146" s="22" t="s">
        <v>117</v>
      </c>
      <c r="D146" s="17"/>
      <c r="E146" s="17"/>
      <c r="F146" s="17"/>
      <c r="G146" s="17"/>
      <c r="H146" s="17"/>
      <c r="I146" s="17"/>
      <c r="J146" s="17"/>
      <c r="K146" s="17"/>
      <c r="L146" s="17"/>
      <c r="N146" s="22" t="s">
        <v>120</v>
      </c>
      <c r="O146" s="17"/>
      <c r="P146" s="17"/>
      <c r="Q146" s="17"/>
      <c r="R146" s="17"/>
      <c r="S146" s="17"/>
      <c r="T146" s="17"/>
    </row>
    <row r="147" spans="2:20" ht="15" hidden="1" outlineLevel="1" x14ac:dyDescent="0.25">
      <c r="B147" s="64"/>
      <c r="C147" s="64">
        <v>2025</v>
      </c>
      <c r="D147" s="17"/>
      <c r="E147" s="17"/>
      <c r="F147" s="17"/>
      <c r="G147" s="17"/>
      <c r="H147" s="17"/>
      <c r="I147" s="17"/>
      <c r="J147" s="17"/>
      <c r="K147" s="17"/>
      <c r="L147" s="17"/>
      <c r="N147" s="64">
        <v>2025</v>
      </c>
      <c r="O147" s="17"/>
      <c r="P147" s="17"/>
      <c r="Q147" s="17"/>
      <c r="R147" s="17"/>
      <c r="S147" s="17"/>
      <c r="T147" s="17"/>
    </row>
    <row r="148" spans="2:20" hidden="1" outlineLevel="1" x14ac:dyDescent="0.2">
      <c r="B148" s="302"/>
      <c r="C148" s="17"/>
      <c r="D148" s="17" t="s">
        <v>231</v>
      </c>
      <c r="E148" s="42">
        <f>IF(NOT(ISBLANK(G23)),G23,E23)</f>
        <v>5</v>
      </c>
      <c r="F148" s="17"/>
      <c r="G148" s="17"/>
      <c r="H148" s="17"/>
      <c r="I148" s="17"/>
      <c r="J148" s="17"/>
      <c r="K148" s="17"/>
      <c r="L148" s="17"/>
      <c r="N148" s="21"/>
      <c r="O148" s="17"/>
      <c r="P148" s="17"/>
      <c r="Q148" s="17"/>
      <c r="R148" s="17"/>
      <c r="S148" s="17"/>
      <c r="T148" s="17"/>
    </row>
    <row r="149" spans="2:20" hidden="1" outlineLevel="1" x14ac:dyDescent="0.2">
      <c r="B149" s="17"/>
      <c r="C149" s="17"/>
      <c r="D149" s="17"/>
      <c r="E149" s="17"/>
      <c r="F149" s="20"/>
      <c r="G149" s="20"/>
      <c r="H149" s="20"/>
      <c r="I149" s="17"/>
      <c r="J149" s="17"/>
      <c r="K149" s="17"/>
      <c r="L149" s="17"/>
      <c r="N149" s="17"/>
      <c r="O149" s="17"/>
      <c r="P149" s="17"/>
      <c r="Q149" s="17"/>
      <c r="R149" s="17"/>
      <c r="S149" s="17"/>
      <c r="T149" s="17"/>
    </row>
    <row r="150" spans="2:20" hidden="1" outlineLevel="1" x14ac:dyDescent="0.2">
      <c r="B150" s="17"/>
      <c r="C150" s="17"/>
      <c r="D150" s="17"/>
      <c r="E150" s="17"/>
      <c r="F150" s="20"/>
      <c r="G150" s="20"/>
      <c r="H150" s="20"/>
      <c r="I150" s="17"/>
      <c r="J150" s="17"/>
      <c r="K150" s="17"/>
      <c r="L150" s="17"/>
      <c r="N150" s="17"/>
      <c r="O150" s="17"/>
      <c r="P150" s="17"/>
      <c r="Q150" s="17"/>
      <c r="R150" s="17"/>
      <c r="S150" s="17"/>
      <c r="T150" s="17"/>
    </row>
    <row r="151" spans="2:20" ht="25.5" hidden="1" outlineLevel="1" x14ac:dyDescent="0.2">
      <c r="B151" s="17"/>
      <c r="C151" s="17"/>
      <c r="D151" s="17"/>
      <c r="E151" s="17"/>
      <c r="F151" s="36" t="s">
        <v>27</v>
      </c>
      <c r="G151" s="36" t="s">
        <v>85</v>
      </c>
      <c r="H151" s="36" t="s">
        <v>29</v>
      </c>
      <c r="I151" s="17"/>
      <c r="J151" s="40" t="s">
        <v>114</v>
      </c>
      <c r="K151" s="41" t="s">
        <v>40</v>
      </c>
      <c r="L151" s="17"/>
      <c r="N151" s="17"/>
      <c r="O151" s="17"/>
      <c r="P151" s="17"/>
      <c r="Q151" s="18"/>
      <c r="R151" s="18"/>
      <c r="S151" s="18"/>
      <c r="T151" s="18"/>
    </row>
    <row r="152" spans="2:20" ht="14.25" hidden="1" outlineLevel="1" x14ac:dyDescent="0.25">
      <c r="B152" s="76"/>
      <c r="C152" s="76" t="s">
        <v>191</v>
      </c>
      <c r="D152" s="76"/>
      <c r="E152" s="76"/>
      <c r="F152" s="77">
        <f>SUM(F154:F167)</f>
        <v>64.071511199999989</v>
      </c>
      <c r="G152" s="77">
        <f t="shared" ref="G152:H152" si="19">SUM(G154:G167)</f>
        <v>241.61230249163646</v>
      </c>
      <c r="H152" s="77">
        <f t="shared" si="19"/>
        <v>46.61859375374776</v>
      </c>
      <c r="I152" s="76"/>
      <c r="J152" s="77">
        <f>F152+G152</f>
        <v>305.68381369163643</v>
      </c>
      <c r="K152" s="77">
        <f>SUM(F152:H152)</f>
        <v>352.30240744538418</v>
      </c>
      <c r="L152" s="76" t="s">
        <v>198</v>
      </c>
      <c r="N152" s="17"/>
      <c r="O152" s="17"/>
      <c r="P152" s="17"/>
      <c r="Q152" s="18"/>
      <c r="R152" s="18"/>
      <c r="S152" s="18"/>
      <c r="T152" s="18"/>
    </row>
    <row r="153" spans="2:20" hidden="1" outlineLevel="1" x14ac:dyDescent="0.2">
      <c r="B153" s="303"/>
      <c r="C153" s="17" t="s">
        <v>148</v>
      </c>
      <c r="D153" s="17"/>
      <c r="E153" s="17"/>
      <c r="F153" s="17"/>
      <c r="G153" s="17"/>
      <c r="H153" s="17"/>
      <c r="I153" s="17"/>
      <c r="J153" s="17"/>
      <c r="K153" s="17"/>
      <c r="L153" s="17"/>
      <c r="N153" s="17" t="s">
        <v>148</v>
      </c>
      <c r="O153" s="17"/>
      <c r="P153" s="17"/>
      <c r="Q153" s="18"/>
      <c r="R153" s="18"/>
      <c r="S153" s="18"/>
      <c r="T153" s="18"/>
    </row>
    <row r="154" spans="2:20" ht="15.75" hidden="1" outlineLevel="1" x14ac:dyDescent="0.3">
      <c r="B154" s="303"/>
      <c r="C154" s="17"/>
      <c r="D154" s="17" t="s">
        <v>128</v>
      </c>
      <c r="E154" s="17"/>
      <c r="F154" s="38">
        <f>IF(NOT(ISBLANK('Referenz Pflasterwerk'!$I16)),'Referenz Pflasterwerk'!$I16,'Referenz Pflasterwerk'!$F16)*IF(NOT(ISBLANK('Eingabe EF'!$AA9)),'Eingabe EF'!$AA9,'Eingabe EF'!$Y9)</f>
        <v>1.6484399999999999</v>
      </c>
      <c r="G154" s="38">
        <f>IF(NOT(ISBLANK('Referenz Pflasterwerk'!$I16)),'Referenz Pflasterwerk'!$I16,'Referenz Pflasterwerk'!$F16)*IF(NOT(ISBLANK('Eingabe EF'!$AE9)),'Eingabe EF'!$AE9,'Eingabe EF'!$AC9)</f>
        <v>0</v>
      </c>
      <c r="H154" s="38">
        <f>IF(NOT(ISBLANK('Referenz Pflasterwerk'!$I16)),'Referenz Pflasterwerk'!$I16,'Referenz Pflasterwerk'!$F16)*IF(NOT(ISBLANK('Eingabe EF'!$AI9)),'Eingabe EF'!$AI9,'Eingabe EF'!$AG9)</f>
        <v>0.28215000000000001</v>
      </c>
      <c r="I154" s="17"/>
      <c r="J154" s="38">
        <f>F154+G154</f>
        <v>1.6484399999999999</v>
      </c>
      <c r="K154" s="38">
        <f>SUM(F154:H154)</f>
        <v>1.93059</v>
      </c>
      <c r="L154" s="17" t="s">
        <v>199</v>
      </c>
      <c r="N154" s="17"/>
      <c r="O154" s="17" t="s">
        <v>128</v>
      </c>
      <c r="P154" s="17"/>
      <c r="Q154" s="19"/>
      <c r="R154" s="20"/>
      <c r="S154" s="42">
        <f>IF(NOT(ISBLANK('Referenz Pflasterwerk'!$I16)),'Referenz Pflasterwerk'!$I16,'Referenz Pflasterwerk'!$F16)/1000*IF(NOT(ISBLANK('Eingabe Preise'!$K10)),'Eingabe Preise'!$K10,'Eingabe Preise'!$I10)</f>
        <v>549</v>
      </c>
      <c r="T154" s="20" t="s">
        <v>109</v>
      </c>
    </row>
    <row r="155" spans="2:20" ht="15.75" hidden="1" outlineLevel="1" x14ac:dyDescent="0.3">
      <c r="B155" s="303"/>
      <c r="C155" s="17"/>
      <c r="D155" s="17" t="s">
        <v>166</v>
      </c>
      <c r="E155" s="17"/>
      <c r="F155" s="38">
        <f>IF(NOT(ISBLANK('Referenz Pflasterwerk'!$I17)),'Referenz Pflasterwerk'!$I17,'Referenz Pflasterwerk'!$F17)*IF(NOT(ISBLANK('Eingabe EF'!$AA10)),'Eingabe EF'!$AA10,'Eingabe EF'!$Y10)</f>
        <v>0.53351999999999999</v>
      </c>
      <c r="G155" s="38">
        <f>IF(NOT(ISBLANK('Referenz Pflasterwerk'!$I17)),'Referenz Pflasterwerk'!$I17,'Referenz Pflasterwerk'!$F17)*IF(NOT(ISBLANK('Eingabe EF'!$AE10)),'Eingabe EF'!$AE10,'Eingabe EF'!$AC10)</f>
        <v>0</v>
      </c>
      <c r="H155" s="38">
        <f>IF(NOT(ISBLANK('Referenz Pflasterwerk'!$I17)),'Referenz Pflasterwerk'!$I17,'Referenz Pflasterwerk'!$F17)*IF(NOT(ISBLANK('Eingabe EF'!$AI10)),'Eingabe EF'!$AI10,'Eingabe EF'!$AG10)</f>
        <v>7.9152E-2</v>
      </c>
      <c r="I155" s="17"/>
      <c r="J155" s="38">
        <f>F155+G155</f>
        <v>0.53351999999999999</v>
      </c>
      <c r="K155" s="38">
        <f>SUM(F155:H155)</f>
        <v>0.61267199999999999</v>
      </c>
      <c r="L155" s="17" t="s">
        <v>199</v>
      </c>
      <c r="N155" s="17"/>
      <c r="O155" s="17" t="s">
        <v>166</v>
      </c>
      <c r="P155" s="17"/>
      <c r="Q155" s="20"/>
      <c r="R155" s="20"/>
      <c r="S155" s="42">
        <f>IF(NOT(ISBLANK('Referenz Pflasterwerk'!$I17)),'Referenz Pflasterwerk'!$I17,'Referenz Pflasterwerk'!$F17)/1000*IF(NOT(ISBLANK('Eingabe Preise'!$K11)),'Eingabe Preise'!$K11,'Eingabe Preise'!$I11)</f>
        <v>92</v>
      </c>
      <c r="T155" s="20" t="s">
        <v>109</v>
      </c>
    </row>
    <row r="156" spans="2:20" ht="15.75" hidden="1" outlineLevel="1" x14ac:dyDescent="0.3">
      <c r="B156" s="303"/>
      <c r="C156" s="17"/>
      <c r="D156" s="17" t="s">
        <v>167</v>
      </c>
      <c r="E156" s="17"/>
      <c r="F156" s="38">
        <f>IF(NOT(ISBLANK('Referenz Pflasterwerk'!$I18)),'Referenz Pflasterwerk'!$I18,'Referenz Pflasterwerk'!$F18)*IF(NOT(ISBLANK('Eingabe EF'!$AA11)),'Eingabe EF'!$AA11,'Eingabe EF'!$Y11)</f>
        <v>0</v>
      </c>
      <c r="G156" s="38">
        <f>IF(NOT(ISBLANK('Referenz Pflasterwerk'!$I18)),'Referenz Pflasterwerk'!$I18,'Referenz Pflasterwerk'!$F18)*IF(NOT(ISBLANK('Eingabe EF'!$AE11)),'Eingabe EF'!$AE11,'Eingabe EF'!$AC11)</f>
        <v>41.630815696237796</v>
      </c>
      <c r="H156" s="38">
        <f>IF(NOT(ISBLANK('Referenz Pflasterwerk'!$I18)),'Referenz Pflasterwerk'!$I18,'Referenz Pflasterwerk'!$F18)*IF(NOT(ISBLANK('Eingabe EF'!$AI11)),'Eingabe EF'!$AI11,'Eingabe EF'!$AG11)</f>
        <v>6.1029468036369554</v>
      </c>
      <c r="I156" s="17"/>
      <c r="J156" s="38">
        <f>F156+G156</f>
        <v>41.630815696237796</v>
      </c>
      <c r="K156" s="38">
        <f>SUM(F156:H156)</f>
        <v>47.73376249987475</v>
      </c>
      <c r="L156" s="17" t="s">
        <v>199</v>
      </c>
      <c r="N156" s="17"/>
      <c r="O156" s="17" t="s">
        <v>167</v>
      </c>
      <c r="P156" s="17"/>
      <c r="Q156" s="20"/>
      <c r="R156" s="20"/>
      <c r="S156" s="42">
        <f>IF(NOT(ISBLANK('Referenz Pflasterwerk'!$I18)),'Referenz Pflasterwerk'!$I18,'Referenz Pflasterwerk'!$F18)/1000*IF(NOT(ISBLANK('Eingabe Preise'!$K12)),'Eingabe Preise'!$K12,'Eingabe Preise'!$I12)</f>
        <v>25800</v>
      </c>
      <c r="T156" s="20" t="s">
        <v>109</v>
      </c>
    </row>
    <row r="157" spans="2:20" ht="15.75" hidden="1" outlineLevel="1" x14ac:dyDescent="0.3">
      <c r="B157" s="303"/>
      <c r="C157" s="17"/>
      <c r="D157" s="17" t="s">
        <v>129</v>
      </c>
      <c r="E157" s="17"/>
      <c r="F157" s="44">
        <f>IF(NOT(ISBLANK('Referenz Pflasterwerk'!$I19)),'Referenz Pflasterwerk'!$I19,'Referenz Pflasterwerk'!$F19)*IF(NOT(ISBLANK('Eingabe EF'!$AA12)),'Eingabe EF'!$AA12,0)</f>
        <v>0</v>
      </c>
      <c r="G157" s="44">
        <f>IF(NOT(ISBLANK('Referenz Pflasterwerk'!$I19)),'Referenz Pflasterwerk'!$I19,'Referenz Pflasterwerk'!$F19)*IF(NOT(ISBLANK('Eingabe EF'!$AE12)),'Eingabe EF'!$AE12,0)</f>
        <v>0</v>
      </c>
      <c r="H157" s="44">
        <f>IF(NOT(ISBLANK('Referenz Pflasterwerk'!$I19)),'Referenz Pflasterwerk'!$I19,'Referenz Pflasterwerk'!$F19)*IF(NOT(ISBLANK('Eingabe EF'!$AI12)),'Eingabe EF'!$AI12,0)</f>
        <v>0</v>
      </c>
      <c r="I157" s="17"/>
      <c r="J157" s="38">
        <f>F157+G157</f>
        <v>0</v>
      </c>
      <c r="K157" s="38">
        <f>SUM(F157:H157)</f>
        <v>0</v>
      </c>
      <c r="L157" s="17" t="s">
        <v>199</v>
      </c>
      <c r="N157" s="17"/>
      <c r="O157" s="17" t="s">
        <v>129</v>
      </c>
      <c r="P157" s="17"/>
      <c r="Q157" s="20"/>
      <c r="R157" s="20"/>
      <c r="S157" s="42">
        <f>IF(NOT(ISBLANK('Referenz Pflasterwerk'!$I19)),'Referenz Pflasterwerk'!$I19,'Referenz Pflasterwerk'!$F19)/1000*IF(NOT(ISBLANK('Eingabe Preise'!$K16)),'Eingabe Preise'!$K16,0)</f>
        <v>0</v>
      </c>
      <c r="T157" s="20" t="s">
        <v>109</v>
      </c>
    </row>
    <row r="158" spans="2:20" hidden="1" outlineLevel="1" x14ac:dyDescent="0.2">
      <c r="B158" s="303"/>
      <c r="C158" s="17" t="s">
        <v>149</v>
      </c>
      <c r="D158" s="17"/>
      <c r="E158" s="17"/>
      <c r="F158" s="20"/>
      <c r="G158" s="20"/>
      <c r="H158" s="20"/>
      <c r="I158" s="17"/>
      <c r="J158" s="17"/>
      <c r="K158" s="17"/>
      <c r="L158" s="17"/>
      <c r="N158" s="17" t="s">
        <v>149</v>
      </c>
      <c r="O158" s="17"/>
      <c r="P158" s="17"/>
      <c r="Q158" s="20"/>
      <c r="R158" s="20"/>
      <c r="S158" s="20"/>
      <c r="T158" s="20"/>
    </row>
    <row r="159" spans="2:20" ht="15.75" hidden="1" outlineLevel="1" x14ac:dyDescent="0.3">
      <c r="B159" s="303"/>
      <c r="C159" s="17"/>
      <c r="D159" s="17" t="s">
        <v>32</v>
      </c>
      <c r="E159" s="17"/>
      <c r="F159" s="38">
        <f>IF(NOT(ISBLANK('Referenz Pflasterwerk'!$I21)),'Referenz Pflasterwerk'!$I21,'Referenz Pflasterwerk'!$F21)*IF(NOT(ISBLANK('Eingabe EF'!$AA9)),'Eingabe EF'!$AA9,'Eingabe EF'!$Y9)</f>
        <v>6.5937599999999996</v>
      </c>
      <c r="G159" s="38">
        <f>IF(NOT(ISBLANK('Referenz Pflasterwerk'!$I21)),'Referenz Pflasterwerk'!$I21,'Referenz Pflasterwerk'!$F21)*IF(NOT(ISBLANK('Eingabe EF'!$AE9)),'Eingabe EF'!$AE9,'Eingabe EF'!$AC9)</f>
        <v>0</v>
      </c>
      <c r="H159" s="38">
        <f>IF(NOT(ISBLANK('Referenz Pflasterwerk'!$I21)),'Referenz Pflasterwerk'!$I21,'Referenz Pflasterwerk'!$F21)*IF(NOT(ISBLANK('Eingabe EF'!$AG9)),'Eingabe EF'!$AG9,'Eingabe EF'!$AIC9)</f>
        <v>1.1286</v>
      </c>
      <c r="I159" s="17"/>
      <c r="J159" s="38">
        <f t="shared" ref="J159:J160" si="20">F159+G159</f>
        <v>6.5937599999999996</v>
      </c>
      <c r="K159" s="38">
        <f t="shared" ref="K159:K170" si="21">SUM(F159:H159)</f>
        <v>7.7223600000000001</v>
      </c>
      <c r="L159" s="17" t="s">
        <v>199</v>
      </c>
      <c r="M159" s="43"/>
      <c r="N159" s="17"/>
      <c r="O159" s="17" t="s">
        <v>32</v>
      </c>
      <c r="P159" s="17"/>
      <c r="Q159" s="20"/>
      <c r="R159" s="20"/>
      <c r="S159" s="42">
        <f>IF(NOT(ISBLANK('Referenz Pflasterwerk'!$I21)),'Referenz Pflasterwerk'!$I21,'Referenz Pflasterwerk'!$F21)/1000*IF(NOT(ISBLANK('Eingabe Preise'!$K10)),'Eingabe Preise'!$K10,'Eingabe Preise'!$I10)</f>
        <v>2196</v>
      </c>
      <c r="T159" s="20" t="s">
        <v>109</v>
      </c>
    </row>
    <row r="160" spans="2:20" ht="15.75" hidden="1" outlineLevel="1" x14ac:dyDescent="0.3">
      <c r="B160" s="303"/>
      <c r="C160" s="17"/>
      <c r="D160" s="17" t="s">
        <v>33</v>
      </c>
      <c r="E160" s="17"/>
      <c r="F160" s="38">
        <f>IF(NOT(ISBLANK('Referenz Pflasterwerk'!$I22)),'Referenz Pflasterwerk'!$I22,'Referenz Pflasterwerk'!$F22)*IF(NOT(ISBLANK('Eingabe EF'!$AA10)),'Eingabe EF'!$AA10,'Eingabe EF'!$Y10)</f>
        <v>2.13408</v>
      </c>
      <c r="G160" s="38">
        <f>IF(NOT(ISBLANK('Referenz Pflasterwerk'!$I22)),'Referenz Pflasterwerk'!$I22,'Referenz Pflasterwerk'!$F22)*IF(NOT(ISBLANK('Eingabe EF'!$AE10)),'Eingabe EF'!$AE10,'Eingabe EF'!$AC10)</f>
        <v>0</v>
      </c>
      <c r="H160" s="38">
        <f>IF(NOT(ISBLANK('Referenz Pflasterwerk'!$I22)),'Referenz Pflasterwerk'!$I22,'Referenz Pflasterwerk'!$F22)*IF(NOT(ISBLANK('Eingabe EF'!$AG10)),'Eingabe EF'!$AG10,'Eingabe EF'!$AIC10)</f>
        <v>0.316608</v>
      </c>
      <c r="I160" s="17"/>
      <c r="J160" s="38">
        <f t="shared" si="20"/>
        <v>2.13408</v>
      </c>
      <c r="K160" s="38">
        <f t="shared" si="21"/>
        <v>2.450688</v>
      </c>
      <c r="L160" s="17" t="s">
        <v>199</v>
      </c>
      <c r="M160" s="43"/>
      <c r="N160" s="17"/>
      <c r="O160" s="17" t="s">
        <v>33</v>
      </c>
      <c r="P160" s="17"/>
      <c r="Q160" s="20"/>
      <c r="R160" s="20"/>
      <c r="S160" s="42">
        <f>IF(NOT(ISBLANK('Referenz Pflasterwerk'!$I22)),'Referenz Pflasterwerk'!$I22,'Referenz Pflasterwerk'!$F22)/1000*IF(NOT(ISBLANK('Eingabe Preise'!$K11)),'Eingabe Preise'!$K11,'Eingabe Preise'!$I11)</f>
        <v>368</v>
      </c>
      <c r="T160" s="20" t="s">
        <v>109</v>
      </c>
    </row>
    <row r="161" spans="2:21" hidden="1" outlineLevel="1" x14ac:dyDescent="0.2">
      <c r="B161" s="303"/>
      <c r="C161" s="17" t="s">
        <v>150</v>
      </c>
      <c r="D161" s="17"/>
      <c r="E161" s="17"/>
      <c r="F161" s="20"/>
      <c r="G161" s="20"/>
      <c r="H161" s="20"/>
      <c r="I161" s="17"/>
      <c r="J161" s="17"/>
      <c r="K161" s="17"/>
      <c r="L161" s="17"/>
      <c r="N161" s="17" t="s">
        <v>150</v>
      </c>
      <c r="O161" s="17"/>
      <c r="P161" s="17"/>
      <c r="Q161" s="20"/>
      <c r="R161" s="20"/>
      <c r="S161" s="20"/>
      <c r="T161" s="20"/>
    </row>
    <row r="162" spans="2:21" ht="15.75" hidden="1" outlineLevel="1" x14ac:dyDescent="0.3">
      <c r="B162" s="302"/>
      <c r="C162" s="17"/>
      <c r="D162" s="17" t="s">
        <v>152</v>
      </c>
      <c r="E162" s="17"/>
      <c r="F162" s="38">
        <f>(IF(NOT(ISBLANK('Referenz Pflasterwerk'!$I24)),'Referenz Pflasterwerk'!$I24,'Referenz Pflasterwerk'!$F24)+E148*E25)*IF(NOT(ISBLANK('Eingabe EF'!$AA11)),'Eingabe EF'!$AA11,'Eingabe EF'!$Y11)</f>
        <v>0</v>
      </c>
      <c r="G162" s="38">
        <f>(IF(NOT(ISBLANK('Referenz Pflasterwerk'!$I24)),'Referenz Pflasterwerk'!$I24,'Referenz Pflasterwerk'!$F24)+E148*E25)*IF(NOT(ISBLANK('Eingabe EF'!$AE11)),'Eingabe EF'!$AE11,'Eingabe EF'!$AC11)</f>
        <v>199.98148679539867</v>
      </c>
      <c r="H162" s="38">
        <f>(IF(NOT(ISBLANK('Referenz Pflasterwerk'!$I24)),'Referenz Pflasterwerk'!$I24,'Referenz Pflasterwerk'!$F24)+E148*E25)*IF(NOT(ISBLANK('Eingabe EF'!$AI11)),'Eingabe EF'!$AI11,'Eingabe EF'!$AG11)</f>
        <v>29.316657750110803</v>
      </c>
      <c r="I162" s="17"/>
      <c r="J162" s="38">
        <f t="shared" ref="J162:J170" si="22">F162+G162</f>
        <v>199.98148679539867</v>
      </c>
      <c r="K162" s="38">
        <f t="shared" si="21"/>
        <v>229.29814454550947</v>
      </c>
      <c r="L162" s="17" t="s">
        <v>199</v>
      </c>
      <c r="M162" s="43"/>
      <c r="N162" s="302"/>
      <c r="O162" s="17" t="s">
        <v>168</v>
      </c>
      <c r="P162" s="17"/>
      <c r="Q162" s="20"/>
      <c r="R162" s="20"/>
      <c r="S162" s="42">
        <f>(IF(NOT(ISBLANK('Referenz Pflasterwerk'!$I24)),'Referenz Pflasterwerk'!$I24,'Referenz Pflasterwerk'!$F24)+E148*E25)/1000*IF(NOT(ISBLANK('Eingabe Preise'!$K12)),'Eingabe Preise'!$K12,'Eingabe Preise'!$I12)</f>
        <v>123935.17333333334</v>
      </c>
      <c r="T162" s="20" t="s">
        <v>109</v>
      </c>
    </row>
    <row r="163" spans="2:21" ht="15.75" hidden="1" outlineLevel="1" x14ac:dyDescent="0.3">
      <c r="B163" s="303"/>
      <c r="C163" s="17"/>
      <c r="D163" s="17" t="s">
        <v>125</v>
      </c>
      <c r="E163" s="17"/>
      <c r="F163" s="38">
        <f>IF(NOT(ISBLANK('Referenz Pflasterwerk'!$I25)),'Referenz Pflasterwerk'!$I25,'Referenz Pflasterwerk'!$F25)*IF(NOT(ISBLANK('Eingabe EF'!$AA13)),'Eingabe EF'!$AA13,'Eingabe EF'!$Y13)</f>
        <v>0</v>
      </c>
      <c r="G163" s="38">
        <f>IF(NOT(ISBLANK('Referenz Pflasterwerk'!$I25)),'Referenz Pflasterwerk'!$I25,'Referenz Pflasterwerk'!$F25)*IF(NOT(ISBLANK('Eingabe EF'!$AE13)),'Eingabe EF'!$AE13,'Eingabe EF'!$AC13)</f>
        <v>0</v>
      </c>
      <c r="H163" s="38">
        <f>IF(NOT(ISBLANK('Referenz Pflasterwerk'!$I25)),'Referenz Pflasterwerk'!$I25,'Referenz Pflasterwerk'!$F25)*IF(NOT(ISBLANK('Eingabe EF'!$AI13)),'Eingabe EF'!$AI13,'Eingabe EF'!$AG13)</f>
        <v>0</v>
      </c>
      <c r="I163" s="17"/>
      <c r="J163" s="38">
        <f t="shared" si="22"/>
        <v>0</v>
      </c>
      <c r="K163" s="38">
        <f t="shared" si="21"/>
        <v>0</v>
      </c>
      <c r="L163" s="17" t="s">
        <v>199</v>
      </c>
      <c r="M163" s="43"/>
      <c r="N163" s="17"/>
      <c r="O163" s="17" t="s">
        <v>125</v>
      </c>
      <c r="P163" s="17"/>
      <c r="Q163" s="20"/>
      <c r="R163" s="20"/>
      <c r="S163" s="42">
        <f>IF(NOT(ISBLANK('Referenz Pflasterwerk'!$I25)),'Referenz Pflasterwerk'!$I25,'Referenz Pflasterwerk'!$F25)/1000*IF(NOT(ISBLANK('Eingabe Preise'!$K13)),'Eingabe Preise'!$K13,'Eingabe Preise'!$I13)</f>
        <v>0</v>
      </c>
      <c r="T163" s="20" t="s">
        <v>109</v>
      </c>
    </row>
    <row r="164" spans="2:21" ht="15.75" hidden="1" outlineLevel="1" x14ac:dyDescent="0.3">
      <c r="B164" s="303"/>
      <c r="C164" s="17"/>
      <c r="D164" s="17" t="s">
        <v>151</v>
      </c>
      <c r="E164" s="17"/>
      <c r="F164" s="38">
        <f>IF(NOT(ISBLANK('Referenz Pflasterwerk'!$I26)),'Referenz Pflasterwerk'!$I26,'Referenz Pflasterwerk'!$F26)*IF(NOT(ISBLANK('Eingabe EF'!$AA14)),'Eingabe EF'!$AA14,0)</f>
        <v>0</v>
      </c>
      <c r="G164" s="38">
        <f>IF(NOT(ISBLANK('Referenz Pflasterwerk'!$I26)),'Referenz Pflasterwerk'!$I26,'Referenz Pflasterwerk'!$F26)*IF(NOT(ISBLANK('Eingabe EF'!$AE14)),'Eingabe EF'!$AE14,0)</f>
        <v>0</v>
      </c>
      <c r="H164" s="38">
        <f>IF(NOT(ISBLANK('Referenz Pflasterwerk'!$I26)),'Referenz Pflasterwerk'!$I26,'Referenz Pflasterwerk'!$F26)*IF(NOT(ISBLANK('Eingabe EF'!$AI14)),'Eingabe EF'!$AI14,0)</f>
        <v>0</v>
      </c>
      <c r="I164" s="17"/>
      <c r="J164" s="38">
        <f t="shared" si="22"/>
        <v>0</v>
      </c>
      <c r="K164" s="38">
        <f t="shared" si="21"/>
        <v>0</v>
      </c>
      <c r="L164" s="17" t="s">
        <v>199</v>
      </c>
      <c r="M164" s="43"/>
      <c r="N164" s="17"/>
      <c r="O164" s="17" t="s">
        <v>151</v>
      </c>
      <c r="P164" s="17"/>
      <c r="Q164" s="30"/>
      <c r="R164" s="17"/>
      <c r="S164" s="42">
        <f>IF(NOT(ISBLANK('Referenz Pflasterwerk'!$I26)),'Referenz Pflasterwerk'!$I26,'Referenz Pflasterwerk'!$F26)/1000*IF(NOT(ISBLANK('Eingabe Preise'!$K17)),'Eingabe Preise'!$K17,0)</f>
        <v>0</v>
      </c>
      <c r="T164" s="20" t="s">
        <v>109</v>
      </c>
    </row>
    <row r="165" spans="2:21" hidden="1" outlineLevel="1" x14ac:dyDescent="0.2">
      <c r="B165" s="303"/>
      <c r="C165" s="17"/>
      <c r="D165" s="17"/>
      <c r="E165" s="17"/>
      <c r="F165" s="20"/>
      <c r="G165" s="20"/>
      <c r="H165" s="20"/>
      <c r="I165" s="17"/>
      <c r="J165" s="17"/>
      <c r="K165" s="17"/>
      <c r="L165" s="17"/>
      <c r="N165" s="17"/>
      <c r="O165" s="17"/>
      <c r="P165" s="17"/>
      <c r="Q165" s="30"/>
      <c r="R165" s="17"/>
      <c r="S165" s="17"/>
      <c r="T165" s="17"/>
    </row>
    <row r="166" spans="2:21" ht="15.75" hidden="1" outlineLevel="1" x14ac:dyDescent="0.3">
      <c r="B166" s="302"/>
      <c r="C166" s="17" t="s">
        <v>78</v>
      </c>
      <c r="D166" s="17" t="s">
        <v>35</v>
      </c>
      <c r="E166" s="17"/>
      <c r="F166" s="38">
        <f>(IF(NOT(ISBLANK('Referenz Pflasterwerk'!$I28)),'Referenz Pflasterwerk'!$I28,'Referenz Pflasterwerk'!$F28)-E148*E17)*IF(NOT(ISBLANK('Eingabe EF'!$AA15)),'Eingabe EF'!$AA15,'Eingabe EF'!$Y15)</f>
        <v>42.529368959999992</v>
      </c>
      <c r="G166" s="38">
        <f>(IF(NOT(ISBLANK('Referenz Pflasterwerk'!$I28)),'Referenz Pflasterwerk'!$I28,'Referenz Pflasterwerk'!$F28)-E148*E17)*IF(NOT(ISBLANK('Eingabe EF'!$AE15)),'Eingabe EF'!$AE15,'Eingabe EF'!$AC15)</f>
        <v>0</v>
      </c>
      <c r="H166" s="38">
        <f>(IF(NOT(ISBLANK('Referenz Pflasterwerk'!$I28)),'Referenz Pflasterwerk'!$I28,'Referenz Pflasterwerk'!$F28)-E148*E17)*IF(NOT(ISBLANK('Eingabe EF'!$AI15)),'Eingabe EF'!$AI15,'Eingabe EF'!$AG15)</f>
        <v>7.513983360000001</v>
      </c>
      <c r="I166" s="17"/>
      <c r="J166" s="38">
        <f t="shared" si="22"/>
        <v>42.529368959999992</v>
      </c>
      <c r="K166" s="38">
        <f t="shared" si="21"/>
        <v>50.043352319999997</v>
      </c>
      <c r="L166" s="17" t="s">
        <v>199</v>
      </c>
      <c r="M166" s="43"/>
      <c r="N166" s="302"/>
      <c r="O166" s="17" t="s">
        <v>35</v>
      </c>
      <c r="P166" s="17" t="s">
        <v>78</v>
      </c>
      <c r="Q166" s="30"/>
      <c r="R166" s="17"/>
      <c r="S166" s="42">
        <f>(IF(NOT(ISBLANK('Referenz Pflasterwerk'!$I28)),'Referenz Pflasterwerk'!$I28,'Referenz Pflasterwerk'!$F28)-E148*E17)*IF(NOT(ISBLANK('Eingabe Preise'!$K14)),'Eingabe Preise'!$K14,'Eingabe Preise'!$I14)</f>
        <v>17984</v>
      </c>
      <c r="T166" s="20" t="s">
        <v>109</v>
      </c>
    </row>
    <row r="167" spans="2:21" ht="15.75" hidden="1" outlineLevel="1" x14ac:dyDescent="0.3">
      <c r="B167" s="303"/>
      <c r="C167" s="17" t="s">
        <v>77</v>
      </c>
      <c r="D167" s="17" t="s">
        <v>35</v>
      </c>
      <c r="E167" s="17"/>
      <c r="F167" s="38">
        <f>IF(NOT(ISBLANK('Referenz Pflasterwerk'!$I29)),'Referenz Pflasterwerk'!$I29,'Referenz Pflasterwerk'!$F29)*IF(NOT(ISBLANK('Eingabe EF'!$AA15)),'Eingabe EF'!$AA15,'Eingabe EF'!$Y15)</f>
        <v>10.632342239999998</v>
      </c>
      <c r="G167" s="38">
        <f>IF(NOT(ISBLANK('Referenz Pflasterwerk'!$I29)),'Referenz Pflasterwerk'!$I29,'Referenz Pflasterwerk'!$F29)*IF(NOT(ISBLANK('Eingabe EF'!$AE15)),'Eingabe EF'!$AE15,'Eingabe EF'!$AC15)</f>
        <v>0</v>
      </c>
      <c r="H167" s="38">
        <f>IF(NOT(ISBLANK('Referenz Pflasterwerk'!$I29)),'Referenz Pflasterwerk'!$I29,'Referenz Pflasterwerk'!$F29)*IF(NOT(ISBLANK('Eingabe EF'!$AI15)),'Eingabe EF'!$AI15,'Eingabe EF'!$AG15)</f>
        <v>1.8784958400000002</v>
      </c>
      <c r="I167" s="17"/>
      <c r="J167" s="38">
        <f t="shared" si="22"/>
        <v>10.632342239999998</v>
      </c>
      <c r="K167" s="38">
        <f t="shared" si="21"/>
        <v>12.510838079999999</v>
      </c>
      <c r="L167" s="17" t="s">
        <v>199</v>
      </c>
      <c r="M167" s="43"/>
      <c r="N167" s="21"/>
      <c r="O167" s="17" t="s">
        <v>35</v>
      </c>
      <c r="P167" s="17" t="s">
        <v>77</v>
      </c>
      <c r="Q167" s="30"/>
      <c r="R167" s="17"/>
      <c r="S167" s="42">
        <f>IF(NOT(ISBLANK('Referenz Pflasterwerk'!$I29)),'Referenz Pflasterwerk'!$I29,'Referenz Pflasterwerk'!$F29)*IF(NOT(ISBLANK('Eingabe Preise'!$K14)),'Eingabe Preise'!$K14,'Eingabe Preise'!$I14)</f>
        <v>4496</v>
      </c>
      <c r="T167" s="20" t="s">
        <v>109</v>
      </c>
    </row>
    <row r="168" spans="2:21" s="72" customFormat="1" ht="14.25" hidden="1" outlineLevel="1" x14ac:dyDescent="0.25">
      <c r="B168" s="69"/>
      <c r="C168" s="69" t="s">
        <v>190</v>
      </c>
      <c r="D168" s="69"/>
      <c r="E168" s="69"/>
      <c r="F168" s="71">
        <f>F169+F170</f>
        <v>0</v>
      </c>
      <c r="G168" s="71">
        <f t="shared" ref="G168:H168" si="23">G169+G170</f>
        <v>0</v>
      </c>
      <c r="H168" s="71">
        <f t="shared" si="23"/>
        <v>578.62626120000004</v>
      </c>
      <c r="I168" s="69"/>
      <c r="J168" s="71">
        <f t="shared" si="22"/>
        <v>0</v>
      </c>
      <c r="K168" s="71">
        <f t="shared" si="21"/>
        <v>578.62626120000004</v>
      </c>
      <c r="L168" s="76" t="s">
        <v>198</v>
      </c>
      <c r="N168" s="21"/>
      <c r="O168" s="21"/>
      <c r="P168" s="21"/>
      <c r="Q168" s="73"/>
      <c r="R168" s="21"/>
      <c r="S168" s="21"/>
      <c r="T168" s="21"/>
      <c r="U168" s="6"/>
    </row>
    <row r="169" spans="2:21" ht="15.75" hidden="1" outlineLevel="1" x14ac:dyDescent="0.3">
      <c r="B169" s="17"/>
      <c r="C169" s="17"/>
      <c r="D169" s="17" t="s">
        <v>46</v>
      </c>
      <c r="E169" s="17"/>
      <c r="F169" s="38">
        <f>IF(NOT(ISBLANK('Referenz Pflasterwerk'!$I32)),'Referenz Pflasterwerk'!$I32,'Referenz Pflasterwerk'!$F32)*IF(NOT(ISBLANK('Eingabe EF'!$AA17)),'Eingabe EF'!$AA17,'Eingabe EF'!$Y17)</f>
        <v>0</v>
      </c>
      <c r="G169" s="38">
        <f>IF(NOT(ISBLANK('Referenz Pflasterwerk'!$I32)),'Referenz Pflasterwerk'!$I32,'Referenz Pflasterwerk'!$F32)*IF(NOT(ISBLANK('Eingabe EF'!$AE17)),'Eingabe EF'!$AE17,'Eingabe EF'!$AC17)</f>
        <v>0</v>
      </c>
      <c r="H169" s="38">
        <f>IF(NOT(ISBLANK('Referenz Pflasterwerk'!$I32)),'Referenz Pflasterwerk'!$I32,'Referenz Pflasterwerk'!$F32)*IF(NOT(ISBLANK('Eingabe EF'!$AI17)),'Eingabe EF'!$AI17,'Eingabe EF'!$AG17)</f>
        <v>250.21676159999998</v>
      </c>
      <c r="I169" s="17"/>
      <c r="J169" s="38">
        <f t="shared" si="22"/>
        <v>0</v>
      </c>
      <c r="K169" s="38">
        <f t="shared" si="21"/>
        <v>250.21676159999998</v>
      </c>
      <c r="L169" s="17" t="s">
        <v>199</v>
      </c>
      <c r="M169" s="43"/>
      <c r="N169" s="17"/>
      <c r="O169" s="17"/>
      <c r="P169" s="17"/>
      <c r="Q169" s="30"/>
      <c r="R169" s="17"/>
      <c r="S169" s="17"/>
      <c r="T169" s="17"/>
    </row>
    <row r="170" spans="2:21" ht="15.75" hidden="1" outlineLevel="1" x14ac:dyDescent="0.3">
      <c r="B170" s="17"/>
      <c r="C170" s="17"/>
      <c r="D170" s="17" t="s">
        <v>47</v>
      </c>
      <c r="E170" s="17"/>
      <c r="F170" s="38">
        <f>IF(NOT(ISBLANK('Referenz Pflasterwerk'!$I33)),'Referenz Pflasterwerk'!$I33,'Referenz Pflasterwerk'!$F33)*IF(NOT(ISBLANK('Eingabe EF'!$AA18)),'Eingabe EF'!$AA18,'Eingabe EF'!$Y18)</f>
        <v>0</v>
      </c>
      <c r="G170" s="38">
        <f>IF(NOT(ISBLANK('Referenz Pflasterwerk'!$I33)),'Referenz Pflasterwerk'!$I33,'Referenz Pflasterwerk'!$F33)*IF(NOT(ISBLANK('Eingabe EF'!$AE18)),'Eingabe EF'!$AE18,'Eingabe EF'!$AC18)</f>
        <v>0</v>
      </c>
      <c r="H170" s="38">
        <f>IF(NOT(ISBLANK('Referenz Pflasterwerk'!$I33)),'Referenz Pflasterwerk'!$I33,'Referenz Pflasterwerk'!$F33)*IF(NOT(ISBLANK('Eingabe EF'!$AI18)),'Eingabe EF'!$AI18,'Eingabe EF'!$AG18)</f>
        <v>328.4094996</v>
      </c>
      <c r="I170" s="17"/>
      <c r="J170" s="38">
        <f t="shared" si="22"/>
        <v>0</v>
      </c>
      <c r="K170" s="38">
        <f t="shared" si="21"/>
        <v>328.4094996</v>
      </c>
      <c r="L170" s="17" t="s">
        <v>199</v>
      </c>
      <c r="M170" s="43"/>
      <c r="N170" s="302"/>
      <c r="O170" s="17" t="s">
        <v>31</v>
      </c>
      <c r="P170" s="17"/>
      <c r="Q170" s="30"/>
      <c r="R170" s="17"/>
      <c r="S170" s="42">
        <f>(IF(NOT(ISBLANK($G$27)),$G$27,$E$27)/IF(NOT(ISBLANK($G$32)),$G$32,$E$32)+IF(NOT(ISBLANK($G$27)),$G$27,$E$27)*(IF(NOT(ISBLANK($G$33)),$G$33,$E$33)/100))*E148</f>
        <v>135000</v>
      </c>
      <c r="T170" s="20" t="s">
        <v>109</v>
      </c>
    </row>
    <row r="171" spans="2:21" hidden="1" outlineLevel="1" x14ac:dyDescent="0.2">
      <c r="B171" s="17"/>
      <c r="C171" s="17"/>
      <c r="D171" s="17"/>
      <c r="E171" s="17"/>
      <c r="F171" s="20"/>
      <c r="G171" s="20"/>
      <c r="H171" s="20"/>
      <c r="I171" s="17"/>
      <c r="J171" s="20"/>
      <c r="K171" s="20"/>
      <c r="L171" s="17"/>
      <c r="N171" s="17"/>
      <c r="O171" s="45" t="s">
        <v>155</v>
      </c>
      <c r="P171" s="17"/>
      <c r="Q171" s="30"/>
      <c r="R171" s="17"/>
      <c r="S171" s="42">
        <f>IF(NOT(ISBLANK($G$28)),$G$28,$E$28)</f>
        <v>0</v>
      </c>
      <c r="T171" s="20" t="s">
        <v>109</v>
      </c>
    </row>
    <row r="172" spans="2:21" ht="14.25" hidden="1" outlineLevel="1" x14ac:dyDescent="0.25">
      <c r="B172" s="69"/>
      <c r="C172" s="69" t="s">
        <v>69</v>
      </c>
      <c r="D172" s="70"/>
      <c r="E172" s="70"/>
      <c r="F172" s="71">
        <f>SUM(F173:F176)</f>
        <v>0</v>
      </c>
      <c r="G172" s="71">
        <f>SUM(G173:G176)</f>
        <v>0</v>
      </c>
      <c r="H172" s="71">
        <f>SUM(H173:H176)</f>
        <v>7683.24</v>
      </c>
      <c r="I172" s="70"/>
      <c r="J172" s="71">
        <f t="shared" ref="J172:J176" si="24">F172+G172</f>
        <v>0</v>
      </c>
      <c r="K172" s="71">
        <f t="shared" ref="K172:K175" si="25">SUM(F172:H172)</f>
        <v>7683.24</v>
      </c>
      <c r="L172" s="76" t="s">
        <v>198</v>
      </c>
      <c r="N172" s="17"/>
      <c r="O172" s="45" t="s">
        <v>162</v>
      </c>
      <c r="P172" s="17"/>
      <c r="Q172" s="30"/>
      <c r="R172" s="17"/>
      <c r="S172" s="42">
        <f>IF(NOT(ISBLANK($G$29)),$G$29,$E$29)/IF(NOT(ISBLANK($G$32)),$G$32,$E$32)+IF(NOT(ISBLANK($G$29)),$G$29,$E$29)*(IF(NOT(ISBLANK($G$33)),$G$33,$E$33)/100)</f>
        <v>0</v>
      </c>
      <c r="T172" s="20" t="s">
        <v>109</v>
      </c>
    </row>
    <row r="173" spans="2:21" ht="15.75" hidden="1" outlineLevel="1" x14ac:dyDescent="0.3">
      <c r="B173" s="17"/>
      <c r="C173" s="17"/>
      <c r="D173" s="17" t="s">
        <v>48</v>
      </c>
      <c r="E173" s="17"/>
      <c r="F173" s="38">
        <f>IF(NOT(ISBLANK('Referenz Pflasterwerk'!$I36)),'Referenz Pflasterwerk'!$I36,'Referenz Pflasterwerk'!$F36)*IF(NOT(ISBLANK('Eingabe EF'!$AA21)),'Eingabe EF'!$AA21,'Eingabe EF'!$Y21)*IF(NOT(ISBLANK('Referenz Pflasterwerk'!$I$12)),'Referenz Pflasterwerk'!$I$12,'Referenz Pflasterwerk'!$F$12)</f>
        <v>0</v>
      </c>
      <c r="G173" s="38">
        <f>IF(NOT(ISBLANK('Referenz Pflasterwerk'!$I36)),'Referenz Pflasterwerk'!$I36,'Referenz Pflasterwerk'!$F36)*IF(NOT(ISBLANK('Eingabe EF'!$AE21)),'Eingabe EF'!$AE21,'Eingabe EF'!$AC21)*IF(NOT(ISBLANK('Referenz Pflasterwerk'!$I$12)),'Referenz Pflasterwerk'!$I$12,'Referenz Pflasterwerk'!$F$12)</f>
        <v>0</v>
      </c>
      <c r="H173" s="38">
        <f>IF(NOT(ISBLANK('Referenz Pflasterwerk'!$I36)),'Referenz Pflasterwerk'!$I36,'Referenz Pflasterwerk'!$F36)*IF(NOT(ISBLANK('Eingabe EF'!$AI21)),'Eingabe EF'!$AI21,'Eingabe EF'!$AG21)*IF(NOT(ISBLANK('Referenz Pflasterwerk'!$I$12)),'Referenz Pflasterwerk'!$I$12,'Referenz Pflasterwerk'!$F$12)</f>
        <v>2144.625</v>
      </c>
      <c r="I173" s="17"/>
      <c r="J173" s="38">
        <f t="shared" si="24"/>
        <v>0</v>
      </c>
      <c r="K173" s="38">
        <f t="shared" si="25"/>
        <v>2144.625</v>
      </c>
      <c r="L173" s="17" t="s">
        <v>199</v>
      </c>
      <c r="M173" s="43"/>
      <c r="N173" s="17"/>
      <c r="O173" s="17"/>
      <c r="P173" s="17"/>
      <c r="Q173" s="17"/>
      <c r="R173" s="17"/>
      <c r="S173" s="17"/>
      <c r="T173" s="17"/>
    </row>
    <row r="174" spans="2:21" ht="15.75" hidden="1" outlineLevel="1" x14ac:dyDescent="0.3">
      <c r="B174" s="17"/>
      <c r="C174" s="17"/>
      <c r="D174" s="17" t="s">
        <v>50</v>
      </c>
      <c r="E174" s="17"/>
      <c r="F174" s="38">
        <f>IF(NOT(ISBLANK('Referenz Pflasterwerk'!$I37)),'Referenz Pflasterwerk'!$I37,'Referenz Pflasterwerk'!$F37)*IF(NOT(ISBLANK('Eingabe EF'!$AA22)),'Eingabe EF'!$AA22,'Eingabe EF'!$Y22)*IF(NOT(ISBLANK('Referenz Pflasterwerk'!$I$12)),'Referenz Pflasterwerk'!$I$12,'Referenz Pflasterwerk'!$F$12)</f>
        <v>0</v>
      </c>
      <c r="G174" s="38">
        <f>IF(NOT(ISBLANK('Referenz Pflasterwerk'!$I37)),'Referenz Pflasterwerk'!$I37,'Referenz Pflasterwerk'!$F37)*IF(NOT(ISBLANK('Eingabe EF'!$AE22)),'Eingabe EF'!$AE22,'Eingabe EF'!$AC22)*IF(NOT(ISBLANK('Referenz Pflasterwerk'!$I$12)),'Referenz Pflasterwerk'!$I$12,'Referenz Pflasterwerk'!$F$12)</f>
        <v>0</v>
      </c>
      <c r="H174" s="38">
        <f>IF(NOT(ISBLANK('Referenz Pflasterwerk'!$I37)),'Referenz Pflasterwerk'!$I37,'Referenz Pflasterwerk'!$F37)*IF(NOT(ISBLANK('Eingabe EF'!$AI22)),'Eingabe EF'!$AI22,'Eingabe EF'!$AG22)*IF(NOT(ISBLANK('Referenz Pflasterwerk'!$I$12)),'Referenz Pflasterwerk'!$I$12,'Referenz Pflasterwerk'!$F$12)</f>
        <v>4993.59</v>
      </c>
      <c r="I174" s="17"/>
      <c r="J174" s="38">
        <f t="shared" si="24"/>
        <v>0</v>
      </c>
      <c r="K174" s="38">
        <f t="shared" si="25"/>
        <v>4993.59</v>
      </c>
      <c r="L174" s="17" t="s">
        <v>199</v>
      </c>
      <c r="M174" s="43"/>
      <c r="N174" s="17"/>
      <c r="O174" s="17"/>
      <c r="P174" s="17"/>
      <c r="Q174" s="17"/>
      <c r="R174" s="17"/>
      <c r="S174" s="17"/>
      <c r="T174" s="17"/>
    </row>
    <row r="175" spans="2:21" ht="15.75" hidden="1" outlineLevel="1" x14ac:dyDescent="0.3">
      <c r="B175" s="17"/>
      <c r="C175" s="17"/>
      <c r="D175" s="17" t="s">
        <v>51</v>
      </c>
      <c r="E175" s="17"/>
      <c r="F175" s="38">
        <f>IF(NOT(ISBLANK('Referenz Pflasterwerk'!$I38)),'Referenz Pflasterwerk'!$I38,'Referenz Pflasterwerk'!$F38)*IF(NOT(ISBLANK('Eingabe EF'!$AA23)),'Eingabe EF'!$AA23,'Eingabe EF'!$Y23)*IF(NOT(ISBLANK('Referenz Pflasterwerk'!$I$12)),'Referenz Pflasterwerk'!$I$12,'Referenz Pflasterwerk'!$F$12)</f>
        <v>0</v>
      </c>
      <c r="G175" s="38">
        <f>IF(NOT(ISBLANK('Referenz Pflasterwerk'!$I38)),'Referenz Pflasterwerk'!$I38,'Referenz Pflasterwerk'!$F38)*IF(NOT(ISBLANK('Eingabe EF'!$AE23)),'Eingabe EF'!$AE23,'Eingabe EF'!$AC23)*IF(NOT(ISBLANK('Referenz Pflasterwerk'!$I$12)),'Referenz Pflasterwerk'!$I$12,'Referenz Pflasterwerk'!$F$12)</f>
        <v>0</v>
      </c>
      <c r="H175" s="38">
        <f>IF(NOT(ISBLANK('Referenz Pflasterwerk'!$I38)),'Referenz Pflasterwerk'!$I38,'Referenz Pflasterwerk'!$F38)*IF(NOT(ISBLANK('Eingabe EF'!$AI23)),'Eingabe EF'!$AI23,'Eingabe EF'!$AG23)*IF(NOT(ISBLANK('Referenz Pflasterwerk'!$I$12)),'Referenz Pflasterwerk'!$I$12,'Referenz Pflasterwerk'!$F$12)</f>
        <v>545.02499999999998</v>
      </c>
      <c r="I175" s="17"/>
      <c r="J175" s="38">
        <f t="shared" si="24"/>
        <v>0</v>
      </c>
      <c r="K175" s="38">
        <f t="shared" si="25"/>
        <v>545.02499999999998</v>
      </c>
      <c r="L175" s="17" t="s">
        <v>199</v>
      </c>
      <c r="M175" s="43"/>
      <c r="N175" s="17"/>
      <c r="O175" s="17" t="s">
        <v>201</v>
      </c>
      <c r="P175" s="17"/>
      <c r="Q175" s="30"/>
      <c r="R175" s="17"/>
      <c r="S175" s="42">
        <f>F211*IF(NOT(ISBLANK('Eingabe Preise'!$K21)),'Eingabe Preise'!$K21,'Eingabe Preise'!$I21)</f>
        <v>2883.2180039999994</v>
      </c>
      <c r="T175" s="20" t="s">
        <v>109</v>
      </c>
    </row>
    <row r="176" spans="2:21" ht="15.75" hidden="1" outlineLevel="1" x14ac:dyDescent="0.3">
      <c r="B176" s="17"/>
      <c r="C176" s="17"/>
      <c r="D176" s="17" t="s">
        <v>163</v>
      </c>
      <c r="E176" s="17"/>
      <c r="F176" s="38">
        <f>IF(NOT(ISBLANK('Referenz Pflasterwerk'!$I39)),'Referenz Pflasterwerk'!$I39,'Referenz Pflasterwerk'!$F39)*IF(NOT(ISBLANK('Eingabe EF'!$AA24)),'Eingabe EF'!$AA24,0)*IF(NOT(ISBLANK('Referenz Pflasterwerk'!$I$12)),'Referenz Pflasterwerk'!$I$12,'Referenz Pflasterwerk'!$F$12)</f>
        <v>0</v>
      </c>
      <c r="G176" s="38">
        <f>IF(NOT(ISBLANK('Referenz Pflasterwerk'!$I39)),'Referenz Pflasterwerk'!$I39,'Referenz Pflasterwerk'!$F39)*IF(NOT(ISBLANK('Eingabe EF'!$AE24)),'Eingabe EF'!$AE24,0)*IF(NOT(ISBLANK('Referenz Pflasterwerk'!$I$12)),'Referenz Pflasterwerk'!$I$12,'Referenz Pflasterwerk'!$F$12)</f>
        <v>0</v>
      </c>
      <c r="H176" s="38">
        <f>IF(NOT(ISBLANK('Referenz Pflasterwerk'!$I39)),'Referenz Pflasterwerk'!$I39,'Referenz Pflasterwerk'!$F39)*IF(NOT(ISBLANK('Eingabe EF'!$AI24)),'Eingabe EF'!$AI24,0)*IF(NOT(ISBLANK('Referenz Pflasterwerk'!$I$12)),'Referenz Pflasterwerk'!$I$12,'Referenz Pflasterwerk'!$F$12)</f>
        <v>0</v>
      </c>
      <c r="I176" s="17"/>
      <c r="J176" s="38">
        <f t="shared" si="24"/>
        <v>0</v>
      </c>
      <c r="K176" s="38">
        <f t="shared" ref="K176" si="26">SUM(F176:H176)</f>
        <v>0</v>
      </c>
      <c r="L176" s="17" t="s">
        <v>199</v>
      </c>
      <c r="M176" s="43"/>
      <c r="N176" s="17"/>
      <c r="O176" s="17" t="s">
        <v>202</v>
      </c>
      <c r="P176" s="17"/>
      <c r="Q176" s="30"/>
      <c r="R176" s="17"/>
      <c r="S176" s="42">
        <f>G211*IF(NOT(ISBLANK('Eingabe Preise'!$K22)),'Eingabe Preise'!$K22,'Eingabe Preise'!$I22)</f>
        <v>10872.55361212364</v>
      </c>
      <c r="T176" s="20" t="s">
        <v>109</v>
      </c>
    </row>
    <row r="177" spans="2:20" ht="15.75" hidden="1" outlineLevel="1" x14ac:dyDescent="0.3">
      <c r="B177" s="17"/>
      <c r="C177" s="17"/>
      <c r="D177" s="17"/>
      <c r="E177" s="17"/>
      <c r="F177" s="20"/>
      <c r="G177" s="20"/>
      <c r="H177" s="20"/>
      <c r="I177" s="17"/>
      <c r="J177" s="17"/>
      <c r="K177" s="20"/>
      <c r="L177" s="20"/>
      <c r="M177" s="43"/>
      <c r="N177" s="17"/>
      <c r="O177" s="17" t="s">
        <v>203</v>
      </c>
      <c r="P177" s="17"/>
      <c r="Q177" s="30"/>
      <c r="R177" s="17"/>
      <c r="S177" s="42">
        <f>H211*IF(NOT(ISBLANK('Eingabe Preise'!$K23)),'Eingabe Preise'!$K23,'Eingabe Preise'!$I23)</f>
        <v>472793.78617382917</v>
      </c>
      <c r="T177" s="20" t="s">
        <v>109</v>
      </c>
    </row>
    <row r="178" spans="2:20" ht="14.25" hidden="1" outlineLevel="1" x14ac:dyDescent="0.25">
      <c r="B178" s="69"/>
      <c r="C178" s="69" t="s">
        <v>178</v>
      </c>
      <c r="D178" s="70"/>
      <c r="E178" s="70"/>
      <c r="F178" s="71">
        <f>SUM(F179:F181)</f>
        <v>0</v>
      </c>
      <c r="G178" s="71">
        <f>SUM(G179:G181)</f>
        <v>0</v>
      </c>
      <c r="H178" s="71">
        <f>SUM(H179:H181)</f>
        <v>387.03000000000003</v>
      </c>
      <c r="I178" s="70"/>
      <c r="J178" s="71">
        <f t="shared" ref="J178" si="27">F178+G178</f>
        <v>0</v>
      </c>
      <c r="K178" s="71">
        <f t="shared" ref="K178" si="28">SUM(F178:H178)</f>
        <v>387.03000000000003</v>
      </c>
      <c r="L178" s="76" t="s">
        <v>198</v>
      </c>
      <c r="M178" s="43"/>
      <c r="N178" s="17"/>
      <c r="O178" s="17"/>
      <c r="P178" s="17"/>
      <c r="Q178" s="30"/>
      <c r="R178" s="17"/>
      <c r="S178" s="66"/>
      <c r="T178" s="17"/>
    </row>
    <row r="179" spans="2:20" ht="15.75" hidden="1" outlineLevel="1" x14ac:dyDescent="0.3">
      <c r="B179" s="17"/>
      <c r="C179" s="17"/>
      <c r="D179" s="17" t="s">
        <v>179</v>
      </c>
      <c r="E179" s="17"/>
      <c r="F179" s="38">
        <f>IF(NOT(ISBLANK('Referenz Pflasterwerk'!$I42)),'Referenz Pflasterwerk'!$I42,'Referenz Pflasterwerk'!$F42)*IF(NOT(ISBLANK('Eingabe EF'!$AA27)),'Eingabe EF'!$AA27,'Eingabe EF'!$Y27)*IF(NOT(ISBLANK('Referenz Pflasterwerk'!$I$12)),'Referenz Pflasterwerk'!$I$12,'Referenz Pflasterwerk'!$F$12)</f>
        <v>0</v>
      </c>
      <c r="G179" s="38">
        <f>IF(NOT(ISBLANK('Referenz Pflasterwerk'!$I42)),'Referenz Pflasterwerk'!$I42,'Referenz Pflasterwerk'!$F42)*IF(NOT(ISBLANK('Eingabe EF'!$AE27)),'Eingabe EF'!$AE27,'Eingabe EF'!$AC27)*IF(NOT(ISBLANK('Referenz Pflasterwerk'!$I$12)),'Referenz Pflasterwerk'!$I$12,'Referenz Pflasterwerk'!$F$12)</f>
        <v>0</v>
      </c>
      <c r="H179" s="38">
        <f>IF(NOT(ISBLANK('Referenz Pflasterwerk'!$I42)),'Referenz Pflasterwerk'!$I42,'Referenz Pflasterwerk'!$F42)*IF(NOT(ISBLANK('Eingabe EF'!$AI27)),'Eingabe EF'!$AI27,'Eingabe EF'!$AG27)*IF(NOT(ISBLANK('Referenz Pflasterwerk'!$I$12)),'Referenz Pflasterwerk'!$I$12,'Referenz Pflasterwerk'!$F$12)</f>
        <v>387.03000000000003</v>
      </c>
      <c r="I179" s="17"/>
      <c r="J179" s="38">
        <f>F179+G179</f>
        <v>0</v>
      </c>
      <c r="K179" s="38">
        <f>SUM(F179:H179)</f>
        <v>387.03000000000003</v>
      </c>
      <c r="L179" s="17" t="s">
        <v>199</v>
      </c>
      <c r="M179" s="43"/>
      <c r="N179" s="17"/>
      <c r="O179" s="17"/>
      <c r="P179" s="17"/>
      <c r="Q179" s="17"/>
      <c r="R179" s="17"/>
      <c r="S179" s="17"/>
      <c r="T179" s="17"/>
    </row>
    <row r="180" spans="2:20" ht="15.75" hidden="1" outlineLevel="1" x14ac:dyDescent="0.3">
      <c r="B180" s="17"/>
      <c r="C180" s="17"/>
      <c r="D180" s="17" t="s">
        <v>180</v>
      </c>
      <c r="E180" s="17"/>
      <c r="F180" s="38">
        <f>IF(NOT(ISBLANK('Referenz Pflasterwerk'!$I43)),'Referenz Pflasterwerk'!$I43,'Referenz Pflasterwerk'!$F43)*IF(NOT(ISBLANK('Eingabe EF'!$AA28)),'Eingabe EF'!$AA28,0)*IF(NOT(ISBLANK('Referenz Pflasterwerk'!$I$12)),'Referenz Pflasterwerk'!$I$12,'Referenz Pflasterwerk'!$F$12)</f>
        <v>0</v>
      </c>
      <c r="G180" s="38">
        <f>IF(NOT(ISBLANK('Referenz Pflasterwerk'!$I43)),'Referenz Pflasterwerk'!$I43,'Referenz Pflasterwerk'!$F43)*IF(NOT(ISBLANK('Eingabe EF'!$AE28)),'Eingabe EF'!$AE28,0)*IF(NOT(ISBLANK('Referenz Pflasterwerk'!$I$12)),'Referenz Pflasterwerk'!$I$12,'Referenz Pflasterwerk'!$F$12)</f>
        <v>0</v>
      </c>
      <c r="H180" s="38">
        <f>IF(NOT(ISBLANK('Referenz Pflasterwerk'!$I43)),'Referenz Pflasterwerk'!$I43,'Referenz Pflasterwerk'!$F43)*IF(NOT(ISBLANK('Eingabe EF'!$AI28)),'Eingabe EF'!$AI28,0)*IF(NOT(ISBLANK('Referenz Pflasterwerk'!$I$12)),'Referenz Pflasterwerk'!$I$12,'Referenz Pflasterwerk'!$F$12)</f>
        <v>0</v>
      </c>
      <c r="I180" s="17"/>
      <c r="J180" s="38">
        <f t="shared" ref="J180:J181" si="29">F180+G180</f>
        <v>0</v>
      </c>
      <c r="K180" s="38">
        <f t="shared" ref="K180:K181" si="30">SUM(F180:H180)</f>
        <v>0</v>
      </c>
      <c r="L180" s="17" t="s">
        <v>199</v>
      </c>
      <c r="M180" s="43"/>
      <c r="N180" s="17"/>
      <c r="O180" s="17"/>
      <c r="P180" s="17"/>
      <c r="Q180" s="30"/>
      <c r="R180" s="17"/>
      <c r="S180" s="66"/>
      <c r="T180" s="17"/>
    </row>
    <row r="181" spans="2:20" ht="15.75" hidden="1" outlineLevel="1" x14ac:dyDescent="0.3">
      <c r="B181" s="17"/>
      <c r="C181" s="17"/>
      <c r="D181" s="17" t="s">
        <v>181</v>
      </c>
      <c r="E181" s="17"/>
      <c r="F181" s="38">
        <f>IF(NOT(ISBLANK('Referenz Pflasterwerk'!$I44)),'Referenz Pflasterwerk'!$I44,'Referenz Pflasterwerk'!$F44)*IF(NOT(ISBLANK('Eingabe EF'!$AA29)),'Eingabe EF'!$AA29,0)*IF(NOT(ISBLANK('Referenz Pflasterwerk'!$I$12)),'Referenz Pflasterwerk'!$I$12,'Referenz Pflasterwerk'!$F$12)</f>
        <v>0</v>
      </c>
      <c r="G181" s="38">
        <f>IF(NOT(ISBLANK('Referenz Pflasterwerk'!$I44)),'Referenz Pflasterwerk'!$I44,'Referenz Pflasterwerk'!$F44)*IF(NOT(ISBLANK('Eingabe EF'!$AE29)),'Eingabe EF'!$AE29,0)*IF(NOT(ISBLANK('Referenz Pflasterwerk'!$I$12)),'Referenz Pflasterwerk'!$I$12,'Referenz Pflasterwerk'!$F$12)</f>
        <v>0</v>
      </c>
      <c r="H181" s="38">
        <f>IF(NOT(ISBLANK('Referenz Pflasterwerk'!$I44)),'Referenz Pflasterwerk'!$I44,'Referenz Pflasterwerk'!$F44)*IF(NOT(ISBLANK('Eingabe EF'!$AI29)),'Eingabe EF'!$AI29,0)*IF(NOT(ISBLANK('Referenz Pflasterwerk'!$I$12)),'Referenz Pflasterwerk'!$I$12,'Referenz Pflasterwerk'!$F$12)</f>
        <v>0</v>
      </c>
      <c r="I181" s="17"/>
      <c r="J181" s="38">
        <f t="shared" si="29"/>
        <v>0</v>
      </c>
      <c r="K181" s="38">
        <f t="shared" si="30"/>
        <v>0</v>
      </c>
      <c r="L181" s="17" t="s">
        <v>199</v>
      </c>
      <c r="M181" s="43"/>
      <c r="N181" s="43"/>
      <c r="O181" s="43"/>
      <c r="P181" s="43"/>
      <c r="Q181" s="43"/>
      <c r="R181" s="43"/>
      <c r="S181" s="43"/>
    </row>
    <row r="182" spans="2:20" hidden="1" outlineLevel="1" x14ac:dyDescent="0.2">
      <c r="B182" s="17"/>
      <c r="C182" s="17"/>
      <c r="D182" s="17"/>
      <c r="E182" s="17"/>
      <c r="F182" s="20"/>
      <c r="G182" s="20"/>
      <c r="H182" s="20"/>
      <c r="I182" s="17"/>
      <c r="J182" s="17"/>
      <c r="K182" s="20"/>
      <c r="L182" s="20"/>
      <c r="M182" s="43"/>
      <c r="N182" s="43"/>
      <c r="O182" s="43"/>
      <c r="P182" s="43"/>
      <c r="Q182" s="43"/>
      <c r="R182" s="43"/>
      <c r="S182" s="43"/>
    </row>
    <row r="183" spans="2:20" ht="14.25" hidden="1" outlineLevel="1" x14ac:dyDescent="0.25">
      <c r="B183" s="17"/>
      <c r="C183" s="17"/>
      <c r="D183" s="21" t="s">
        <v>58</v>
      </c>
      <c r="E183" s="21"/>
      <c r="F183" s="74">
        <f>IF(NOT(ISBLANK('Referenz Pflasterwerk'!$I46)),'Referenz Pflasterwerk'!$I46,'Referenz Pflasterwerk'!$F46)*IF(NOT(ISBLANK('Eingabe EF'!$AA31)),'Eingabe EF'!$AA31,'Eingabe EF'!$Y31)*IF(NOT(ISBLANK('Referenz Pflasterwerk'!$I$12)),'Referenz Pflasterwerk'!$I$12,'Referenz Pflasterwerk'!$F$12)</f>
        <v>0</v>
      </c>
      <c r="G183" s="74">
        <f>IF(NOT(ISBLANK('Referenz Pflasterwerk'!$I46)),'Referenz Pflasterwerk'!$I46,'Referenz Pflasterwerk'!$F46)*IF(NOT(ISBLANK('Eingabe EF'!$AE31)),'Eingabe EF'!$AE31,'Eingabe EF'!$AC31)*IF(NOT(ISBLANK('Referenz Pflasterwerk'!$I$12)),'Referenz Pflasterwerk'!$I$12,'Referenz Pflasterwerk'!$F$12)</f>
        <v>0</v>
      </c>
      <c r="H183" s="74">
        <f>IF(NOT(ISBLANK('Referenz Pflasterwerk'!$I46)),'Referenz Pflasterwerk'!$I46,'Referenz Pflasterwerk'!$F46)*IF(NOT(ISBLANK('Eingabe EF'!$AI31)),'Eingabe EF'!$AI31,'Eingabe EF'!$AG31)*IF(NOT(ISBLANK('Referenz Pflasterwerk'!$I$12)),'Referenz Pflasterwerk'!$I$12,'Referenz Pflasterwerk'!$F$12)</f>
        <v>1040</v>
      </c>
      <c r="I183" s="21"/>
      <c r="J183" s="74">
        <f>F183+G183</f>
        <v>0</v>
      </c>
      <c r="K183" s="74">
        <f t="shared" ref="K183" si="31">SUM(F183:H183)</f>
        <v>1040</v>
      </c>
      <c r="L183" s="21" t="s">
        <v>198</v>
      </c>
      <c r="M183" s="43"/>
      <c r="N183" s="43"/>
      <c r="O183" s="43"/>
      <c r="P183" s="43"/>
      <c r="Q183" s="43"/>
      <c r="R183" s="43"/>
      <c r="S183" s="43"/>
    </row>
    <row r="184" spans="2:20" hidden="1" outlineLevel="1" x14ac:dyDescent="0.2">
      <c r="B184" s="17"/>
      <c r="C184" s="17"/>
      <c r="D184" s="17"/>
      <c r="E184" s="17"/>
      <c r="F184" s="20"/>
      <c r="G184" s="20"/>
      <c r="H184" s="20"/>
      <c r="I184" s="17"/>
      <c r="J184" s="17"/>
      <c r="K184" s="20"/>
      <c r="L184" s="20"/>
      <c r="M184" s="43"/>
      <c r="N184" s="43"/>
      <c r="O184" s="43"/>
      <c r="P184" s="43"/>
      <c r="Q184" s="43"/>
      <c r="R184" s="43"/>
      <c r="S184" s="43"/>
    </row>
    <row r="185" spans="2:20" ht="14.25" hidden="1" outlineLevel="1" x14ac:dyDescent="0.25">
      <c r="B185" s="69"/>
      <c r="C185" s="69" t="s">
        <v>182</v>
      </c>
      <c r="D185" s="70"/>
      <c r="E185" s="70"/>
      <c r="F185" s="71">
        <f>SUM(F186:F188)</f>
        <v>0</v>
      </c>
      <c r="G185" s="71">
        <f>SUM(G186:G188)</f>
        <v>0</v>
      </c>
      <c r="H185" s="71">
        <f>SUM(H186:H188)</f>
        <v>424.19999999999993</v>
      </c>
      <c r="I185" s="70"/>
      <c r="J185" s="71">
        <f t="shared" ref="J185" si="32">F185+G185</f>
        <v>0</v>
      </c>
      <c r="K185" s="71">
        <f t="shared" ref="K185" si="33">SUM(F185:H185)</f>
        <v>424.19999999999993</v>
      </c>
      <c r="L185" s="76" t="s">
        <v>198</v>
      </c>
      <c r="M185" s="43"/>
      <c r="N185" s="43"/>
      <c r="O185" s="43"/>
      <c r="P185" s="43"/>
      <c r="Q185" s="43"/>
      <c r="R185" s="43"/>
      <c r="S185" s="43"/>
    </row>
    <row r="186" spans="2:20" ht="15.75" hidden="1" outlineLevel="1" x14ac:dyDescent="0.3">
      <c r="B186" s="17"/>
      <c r="C186" s="17"/>
      <c r="D186" s="17" t="s">
        <v>60</v>
      </c>
      <c r="E186" s="17"/>
      <c r="F186" s="38">
        <f>IF(NOT(ISBLANK('Referenz Pflasterwerk'!$I49)),'Referenz Pflasterwerk'!$I49,'Referenz Pflasterwerk'!$F49)*IF(NOT(ISBLANK('Eingabe EF'!$AA34)),'Eingabe EF'!$AA34,'Eingabe EF'!$Y34)*IF(NOT(ISBLANK('Referenz Pflasterwerk'!$I$12)),'Referenz Pflasterwerk'!$I$12,'Referenz Pflasterwerk'!$F$12)</f>
        <v>0</v>
      </c>
      <c r="G186" s="38">
        <f>IF(NOT(ISBLANK('Referenz Pflasterwerk'!$I49)),'Referenz Pflasterwerk'!$I49,'Referenz Pflasterwerk'!$F49)*IF(NOT(ISBLANK('Eingabe EF'!$AE34)),'Eingabe EF'!$AE34,'Eingabe EF'!$AC34)*IF(NOT(ISBLANK('Referenz Pflasterwerk'!$I$12)),'Referenz Pflasterwerk'!$I$12,'Referenz Pflasterwerk'!$F$12)</f>
        <v>0</v>
      </c>
      <c r="H186" s="38">
        <f>IF(NOT(ISBLANK('Referenz Pflasterwerk'!$I49)),'Referenz Pflasterwerk'!$I49,'Referenz Pflasterwerk'!$F49)*IF(NOT(ISBLANK('Eingabe EF'!$AI34)),'Eingabe EF'!$AI34,'Eingabe EF'!$AG34)*IF(NOT(ISBLANK('Referenz Pflasterwerk'!$I$12)),'Referenz Pflasterwerk'!$I$12,'Referenz Pflasterwerk'!$F$12)</f>
        <v>356.4</v>
      </c>
      <c r="I186" s="17"/>
      <c r="J186" s="38">
        <f>F186+G186</f>
        <v>0</v>
      </c>
      <c r="K186" s="38">
        <f>SUM(F186:H186)</f>
        <v>356.4</v>
      </c>
      <c r="L186" s="17" t="s">
        <v>199</v>
      </c>
      <c r="M186" s="43"/>
      <c r="N186" s="43"/>
      <c r="O186" s="43"/>
      <c r="P186" s="43"/>
      <c r="Q186" s="43"/>
      <c r="R186" s="43"/>
      <c r="S186" s="43"/>
    </row>
    <row r="187" spans="2:20" ht="15.75" hidden="1" outlineLevel="1" x14ac:dyDescent="0.3">
      <c r="B187" s="17"/>
      <c r="C187" s="17"/>
      <c r="D187" s="17" t="s">
        <v>61</v>
      </c>
      <c r="E187" s="17"/>
      <c r="F187" s="38">
        <f>IF(NOT(ISBLANK('Referenz Pflasterwerk'!$I50)),'Referenz Pflasterwerk'!$I50,'Referenz Pflasterwerk'!$F50)*IF(NOT(ISBLANK('Eingabe EF'!$AA35)),'Eingabe EF'!$AA35,'Eingabe EF'!$Y35)*IF(NOT(ISBLANK('Referenz Pflasterwerk'!$I$12)),'Referenz Pflasterwerk'!$I$12,'Referenz Pflasterwerk'!$F$12)</f>
        <v>0</v>
      </c>
      <c r="G187" s="38">
        <f>IF(NOT(ISBLANK('Referenz Pflasterwerk'!$I50)),'Referenz Pflasterwerk'!$I50,'Referenz Pflasterwerk'!$F50)*IF(NOT(ISBLANK('Eingabe EF'!$AE35)),'Eingabe EF'!$AE35,'Eingabe EF'!$AC35)*IF(NOT(ISBLANK('Referenz Pflasterwerk'!$I$12)),'Referenz Pflasterwerk'!$I$12,'Referenz Pflasterwerk'!$F$12)</f>
        <v>0</v>
      </c>
      <c r="H187" s="38">
        <f>IF(NOT(ISBLANK('Referenz Pflasterwerk'!$I50)),'Referenz Pflasterwerk'!$I50,'Referenz Pflasterwerk'!$F50)*IF(NOT(ISBLANK('Eingabe EF'!$AI35)),'Eingabe EF'!$AI35,'Eingabe EF'!$AG35)*IF(NOT(ISBLANK('Referenz Pflasterwerk'!$I$12)),'Referenz Pflasterwerk'!$I$12,'Referenz Pflasterwerk'!$F$12)</f>
        <v>0</v>
      </c>
      <c r="I187" s="17"/>
      <c r="J187" s="38">
        <f>F187+G187</f>
        <v>0</v>
      </c>
      <c r="K187" s="38">
        <f>SUM(F187:H187)</f>
        <v>0</v>
      </c>
      <c r="L187" s="17" t="s">
        <v>199</v>
      </c>
      <c r="M187" s="43"/>
      <c r="N187" s="43"/>
      <c r="O187" s="43"/>
      <c r="P187" s="43"/>
      <c r="Q187" s="43"/>
      <c r="R187" s="43"/>
      <c r="S187" s="43"/>
    </row>
    <row r="188" spans="2:20" ht="15.75" hidden="1" outlineLevel="1" x14ac:dyDescent="0.3">
      <c r="B188" s="17"/>
      <c r="C188" s="17"/>
      <c r="D188" s="17" t="s">
        <v>62</v>
      </c>
      <c r="E188" s="17"/>
      <c r="F188" s="38">
        <f>IF(NOT(ISBLANK('Referenz Pflasterwerk'!$I51)),'Referenz Pflasterwerk'!$I51,'Referenz Pflasterwerk'!$F51)*IF(NOT(ISBLANK('Eingabe EF'!$AA36)),'Eingabe EF'!$AA36,'Eingabe EF'!$Y36)*IF(NOT(ISBLANK('Referenz Pflasterwerk'!$I$12)),'Referenz Pflasterwerk'!$I$12,'Referenz Pflasterwerk'!$F$12)</f>
        <v>0</v>
      </c>
      <c r="G188" s="38">
        <f>IF(NOT(ISBLANK('Referenz Pflasterwerk'!$I51)),'Referenz Pflasterwerk'!$I51,'Referenz Pflasterwerk'!$F51)*IF(NOT(ISBLANK('Eingabe EF'!$AE36)),'Eingabe EF'!$AE36,'Eingabe EF'!$AC36)*IF(NOT(ISBLANK('Referenz Pflasterwerk'!$I$12)),'Referenz Pflasterwerk'!$I$12,'Referenz Pflasterwerk'!$F$12)</f>
        <v>0</v>
      </c>
      <c r="H188" s="38">
        <f>IF(NOT(ISBLANK('Referenz Pflasterwerk'!$I51)),'Referenz Pflasterwerk'!$I51,'Referenz Pflasterwerk'!$F51)*IF(NOT(ISBLANK('Eingabe EF'!$AI36)),'Eingabe EF'!$AI36,'Eingabe EF'!$AG36)*IF(NOT(ISBLANK('Referenz Pflasterwerk'!$I$12)),'Referenz Pflasterwerk'!$I$12,'Referenz Pflasterwerk'!$F$12)</f>
        <v>67.799999999999983</v>
      </c>
      <c r="I188" s="17"/>
      <c r="J188" s="38">
        <f>F188+G188</f>
        <v>0</v>
      </c>
      <c r="K188" s="38">
        <f>SUM(F188:H188)</f>
        <v>67.799999999999983</v>
      </c>
      <c r="L188" s="17" t="s">
        <v>199</v>
      </c>
      <c r="M188" s="43"/>
      <c r="N188" s="43"/>
      <c r="O188" s="43"/>
      <c r="P188" s="43"/>
      <c r="Q188" s="43"/>
      <c r="R188" s="43"/>
      <c r="S188" s="43"/>
    </row>
    <row r="189" spans="2:20" hidden="1" outlineLevel="1" x14ac:dyDescent="0.2">
      <c r="B189" s="17"/>
      <c r="C189" s="17"/>
      <c r="D189" s="17"/>
      <c r="E189" s="17"/>
      <c r="F189" s="20"/>
      <c r="G189" s="20"/>
      <c r="H189" s="20"/>
      <c r="I189" s="17"/>
      <c r="J189" s="17"/>
      <c r="K189" s="20"/>
      <c r="L189" s="20"/>
      <c r="M189" s="43"/>
      <c r="N189" s="43"/>
      <c r="O189" s="43"/>
      <c r="P189" s="43"/>
      <c r="Q189" s="43"/>
      <c r="R189" s="43"/>
      <c r="S189" s="43"/>
    </row>
    <row r="190" spans="2:20" ht="14.25" hidden="1" outlineLevel="1" x14ac:dyDescent="0.25">
      <c r="B190" s="69"/>
      <c r="C190" s="69" t="s">
        <v>52</v>
      </c>
      <c r="D190" s="70"/>
      <c r="E190" s="70"/>
      <c r="F190" s="71">
        <f>SUM(F191:F194)</f>
        <v>0</v>
      </c>
      <c r="G190" s="71">
        <f>SUM(G191:G194)</f>
        <v>0</v>
      </c>
      <c r="H190" s="71">
        <f>SUM(H191:H194)</f>
        <v>185.55932668689491</v>
      </c>
      <c r="I190" s="70"/>
      <c r="J190" s="71">
        <f t="shared" ref="J190:J194" si="34">F190+G190</f>
        <v>0</v>
      </c>
      <c r="K190" s="71">
        <f t="shared" ref="K190" si="35">SUM(F190:H190)</f>
        <v>185.55932668689491</v>
      </c>
      <c r="L190" s="76" t="s">
        <v>198</v>
      </c>
      <c r="M190" s="43"/>
      <c r="N190" s="43"/>
      <c r="O190" s="43"/>
      <c r="P190" s="43"/>
      <c r="Q190" s="43"/>
      <c r="R190" s="43"/>
      <c r="S190" s="43"/>
    </row>
    <row r="191" spans="2:20" ht="15.75" hidden="1" outlineLevel="1" x14ac:dyDescent="0.3">
      <c r="B191" s="17"/>
      <c r="C191" s="17"/>
      <c r="D191" s="17" t="s">
        <v>53</v>
      </c>
      <c r="E191" s="17"/>
      <c r="F191" s="38">
        <f>IF(NOT(ISBLANK('Referenz Pflasterwerk'!$I$53)),'Referenz Pflasterwerk'!$I$53,'Referenz Pflasterwerk'!$F$53)*IF(NOT(ISBLANK('Referenz Pflasterwerk'!$I54)),'Referenz Pflasterwerk'!$I54,'Referenz Pflasterwerk'!$F54)*IF(NOT(ISBLANK('Eingabe EF'!$AA39)),'Eingabe EF'!$AA39,'Eingabe EF'!$Y39)*IF(NOT(ISBLANK('Referenz Pflasterwerk'!$I$12)),'Referenz Pflasterwerk'!$I$12,'Referenz Pflasterwerk'!$F$12)</f>
        <v>0</v>
      </c>
      <c r="G191" s="38">
        <f>IF(NOT(ISBLANK('Referenz Pflasterwerk'!$I$53)),'Referenz Pflasterwerk'!$I$53,'Referenz Pflasterwerk'!$F$53)*IF(NOT(ISBLANK('Referenz Pflasterwerk'!$I54)),'Referenz Pflasterwerk'!$I54,'Referenz Pflasterwerk'!$F54)*IF(NOT(ISBLANK('Eingabe EF'!$AE39)),'Eingabe EF'!$AE39,'Eingabe EF'!$AC39)*IF(NOT(ISBLANK('Referenz Pflasterwerk'!$I$12)),'Referenz Pflasterwerk'!$I$12,'Referenz Pflasterwerk'!$F$12)</f>
        <v>0</v>
      </c>
      <c r="H191" s="38">
        <f>IF(NOT(ISBLANK('Referenz Pflasterwerk'!$I$53)),'Referenz Pflasterwerk'!$I$53,'Referenz Pflasterwerk'!$F$53)*IF(NOT(ISBLANK('Referenz Pflasterwerk'!$I54)),'Referenz Pflasterwerk'!$I54,'Referenz Pflasterwerk'!$F54)*IF(NOT(ISBLANK('Eingabe EF'!$AI39)),'Eingabe EF'!$AI39,'Eingabe EF'!$AG39)*IF(NOT(ISBLANK('Referenz Pflasterwerk'!$I$12)),'Referenz Pflasterwerk'!$I$12,'Referenz Pflasterwerk'!$F$12)</f>
        <v>59.997399219765924</v>
      </c>
      <c r="I191" s="17"/>
      <c r="J191" s="38">
        <f t="shared" si="34"/>
        <v>0</v>
      </c>
      <c r="K191" s="38">
        <f t="shared" ref="K191:K194" si="36">SUM(F191:H191)</f>
        <v>59.997399219765924</v>
      </c>
      <c r="L191" s="17" t="s">
        <v>199</v>
      </c>
      <c r="M191" s="43"/>
      <c r="N191" s="43"/>
      <c r="O191" s="43"/>
      <c r="P191" s="43"/>
      <c r="Q191" s="43"/>
      <c r="R191" s="43"/>
      <c r="S191" s="43"/>
    </row>
    <row r="192" spans="2:20" ht="15.75" hidden="1" outlineLevel="1" x14ac:dyDescent="0.3">
      <c r="B192" s="17"/>
      <c r="C192" s="17"/>
      <c r="D192" s="17" t="s">
        <v>55</v>
      </c>
      <c r="E192" s="17"/>
      <c r="F192" s="38">
        <f>IF(NOT(ISBLANK('Referenz Pflasterwerk'!$I$53)),'Referenz Pflasterwerk'!$I$53,'Referenz Pflasterwerk'!$F$53)*IF(NOT(ISBLANK('Referenz Pflasterwerk'!$I55)),'Referenz Pflasterwerk'!$I55,'Referenz Pflasterwerk'!$F55)*IF(NOT(ISBLANK('Eingabe EF'!$AA40)),'Eingabe EF'!$AA40,'Eingabe EF'!$Y40)*IF(NOT(ISBLANK('Referenz Pflasterwerk'!$I$12)),'Referenz Pflasterwerk'!$I$12,'Referenz Pflasterwerk'!$F$12)</f>
        <v>0</v>
      </c>
      <c r="G192" s="38">
        <f>IF(NOT(ISBLANK('Referenz Pflasterwerk'!$I$53)),'Referenz Pflasterwerk'!$I$53,'Referenz Pflasterwerk'!$F$53)*IF(NOT(ISBLANK('Referenz Pflasterwerk'!$I55)),'Referenz Pflasterwerk'!$I55,'Referenz Pflasterwerk'!$F55)*IF(NOT(ISBLANK('Eingabe EF'!$AE40)),'Eingabe EF'!$AE40,'Eingabe EF'!$AC40)*IF(NOT(ISBLANK('Referenz Pflasterwerk'!$I$12)),'Referenz Pflasterwerk'!$I$12,'Referenz Pflasterwerk'!$F$12)</f>
        <v>0</v>
      </c>
      <c r="H192" s="38">
        <f>IF(NOT(ISBLANK('Referenz Pflasterwerk'!$I$53)),'Referenz Pflasterwerk'!$I$53,'Referenz Pflasterwerk'!$F$53)*IF(NOT(ISBLANK('Referenz Pflasterwerk'!$I55)),'Referenz Pflasterwerk'!$I55,'Referenz Pflasterwerk'!$F55)*IF(NOT(ISBLANK('Eingabe EF'!$AI40)),'Eingabe EF'!$AI40,'Eingabe EF'!$AG40)*IF(NOT(ISBLANK('Referenz Pflasterwerk'!$I$12)),'Referenz Pflasterwerk'!$I$12,'Referenz Pflasterwerk'!$F$12)</f>
        <v>7.224692963444574</v>
      </c>
      <c r="I192" s="17"/>
      <c r="J192" s="38">
        <f t="shared" si="34"/>
        <v>0</v>
      </c>
      <c r="K192" s="38">
        <f t="shared" si="36"/>
        <v>7.224692963444574</v>
      </c>
      <c r="L192" s="17" t="s">
        <v>199</v>
      </c>
      <c r="M192" s="43"/>
      <c r="N192" s="43"/>
      <c r="O192" s="43"/>
      <c r="P192" s="43"/>
      <c r="Q192" s="43"/>
      <c r="R192" s="43"/>
      <c r="S192" s="43"/>
    </row>
    <row r="193" spans="2:19" ht="15.75" hidden="1" outlineLevel="1" x14ac:dyDescent="0.3">
      <c r="B193" s="17"/>
      <c r="C193" s="17"/>
      <c r="D193" s="17" t="s">
        <v>56</v>
      </c>
      <c r="E193" s="17"/>
      <c r="F193" s="38">
        <f>IF(NOT(ISBLANK('Referenz Pflasterwerk'!$I$53)),'Referenz Pflasterwerk'!$I$53,'Referenz Pflasterwerk'!$F$53)*IF(NOT(ISBLANK('Referenz Pflasterwerk'!$I56)),'Referenz Pflasterwerk'!$I56,'Referenz Pflasterwerk'!$F56)*IF(NOT(ISBLANK('Eingabe EF'!$AA41)),'Eingabe EF'!$AA41,'Eingabe EF'!$Y41)*IF(NOT(ISBLANK('Referenz Pflasterwerk'!$I$12)),'Referenz Pflasterwerk'!$I$12,'Referenz Pflasterwerk'!$F$12)</f>
        <v>0</v>
      </c>
      <c r="G193" s="38">
        <f>IF(NOT(ISBLANK('Referenz Pflasterwerk'!$I$53)),'Referenz Pflasterwerk'!$I$53,'Referenz Pflasterwerk'!$F$53)*IF(NOT(ISBLANK('Referenz Pflasterwerk'!$I56)),'Referenz Pflasterwerk'!$I56,'Referenz Pflasterwerk'!$F56)*IF(NOT(ISBLANK('Eingabe EF'!$AE41)),'Eingabe EF'!$AE41,'Eingabe EF'!$AC41)*IF(NOT(ISBLANK('Referenz Pflasterwerk'!$I$12)),'Referenz Pflasterwerk'!$I$12,'Referenz Pflasterwerk'!$F$12)</f>
        <v>0</v>
      </c>
      <c r="H193" s="38">
        <f>IF(NOT(ISBLANK('Referenz Pflasterwerk'!$I$53)),'Referenz Pflasterwerk'!$I$53,'Referenz Pflasterwerk'!$F$53)*IF(NOT(ISBLANK('Referenz Pflasterwerk'!$I56)),'Referenz Pflasterwerk'!$I56,'Referenz Pflasterwerk'!$F56)*IF(NOT(ISBLANK('Eingabe EF'!$AI41)),'Eingabe EF'!$AI41,'Eingabe EF'!$AG41)*IF(NOT(ISBLANK('Referenz Pflasterwerk'!$I$12)),'Referenz Pflasterwerk'!$I$12,'Referenz Pflasterwerk'!$F$12)</f>
        <v>1.7771998266146515E-2</v>
      </c>
      <c r="I193" s="17"/>
      <c r="J193" s="38">
        <f t="shared" si="34"/>
        <v>0</v>
      </c>
      <c r="K193" s="38">
        <f t="shared" si="36"/>
        <v>1.7771998266146515E-2</v>
      </c>
      <c r="L193" s="17" t="s">
        <v>199</v>
      </c>
      <c r="M193" s="43"/>
      <c r="N193" s="43"/>
      <c r="O193" s="43"/>
      <c r="P193" s="43"/>
      <c r="Q193" s="43"/>
      <c r="R193" s="43"/>
      <c r="S193" s="43"/>
    </row>
    <row r="194" spans="2:19" ht="15.75" hidden="1" outlineLevel="1" x14ac:dyDescent="0.3">
      <c r="B194" s="17"/>
      <c r="C194" s="17"/>
      <c r="D194" s="17" t="s">
        <v>57</v>
      </c>
      <c r="E194" s="17"/>
      <c r="F194" s="38">
        <f>IF(NOT(ISBLANK('Referenz Pflasterwerk'!$I$53)),'Referenz Pflasterwerk'!$I$53,'Referenz Pflasterwerk'!$F$53)*IF(NOT(ISBLANK('Referenz Pflasterwerk'!$I57)),'Referenz Pflasterwerk'!$I57,'Referenz Pflasterwerk'!$F57)*IF(NOT(ISBLANK('Eingabe EF'!$AA42)),'Eingabe EF'!$AA42,'Eingabe EF'!$Y42)*IF(NOT(ISBLANK('Referenz Pflasterwerk'!$I$12)),'Referenz Pflasterwerk'!$I$12,'Referenz Pflasterwerk'!$F$12)</f>
        <v>0</v>
      </c>
      <c r="G194" s="38">
        <f>IF(NOT(ISBLANK('Referenz Pflasterwerk'!$I$53)),'Referenz Pflasterwerk'!$I$53,'Referenz Pflasterwerk'!$F$53)*IF(NOT(ISBLANK('Referenz Pflasterwerk'!$I57)),'Referenz Pflasterwerk'!$I57,'Referenz Pflasterwerk'!$F57)*IF(NOT(ISBLANK('Eingabe EF'!$AE42)),'Eingabe EF'!$AE42,'Eingabe EF'!$AC42)*IF(NOT(ISBLANK('Referenz Pflasterwerk'!$I$12)),'Referenz Pflasterwerk'!$I$12,'Referenz Pflasterwerk'!$F$12)</f>
        <v>0</v>
      </c>
      <c r="H194" s="38">
        <f>IF(NOT(ISBLANK('Referenz Pflasterwerk'!$I$53)),'Referenz Pflasterwerk'!$I$53,'Referenz Pflasterwerk'!$F$53)*IF(NOT(ISBLANK('Referenz Pflasterwerk'!$I57)),'Referenz Pflasterwerk'!$I57,'Referenz Pflasterwerk'!$F57)*IF(NOT(ISBLANK('Eingabe EF'!$AI42)),'Eingabe EF'!$AI42,'Eingabe EF'!$AG42)*IF(NOT(ISBLANK('Referenz Pflasterwerk'!$I$12)),'Referenz Pflasterwerk'!$I$12,'Referenz Pflasterwerk'!$F$12)</f>
        <v>118.31946250541829</v>
      </c>
      <c r="I194" s="17"/>
      <c r="J194" s="38">
        <f t="shared" si="34"/>
        <v>0</v>
      </c>
      <c r="K194" s="38">
        <f t="shared" si="36"/>
        <v>118.31946250541829</v>
      </c>
      <c r="L194" s="17" t="s">
        <v>199</v>
      </c>
      <c r="M194" s="43"/>
      <c r="N194" s="43"/>
      <c r="O194" s="43"/>
      <c r="P194" s="43"/>
      <c r="Q194" s="43"/>
      <c r="R194" s="43"/>
      <c r="S194" s="43"/>
    </row>
    <row r="195" spans="2:19" hidden="1" outlineLevel="1" x14ac:dyDescent="0.2">
      <c r="B195" s="17"/>
      <c r="C195" s="17"/>
      <c r="D195" s="17"/>
      <c r="E195" s="17"/>
      <c r="F195" s="20"/>
      <c r="G195" s="20"/>
      <c r="H195" s="20"/>
      <c r="I195" s="17"/>
      <c r="J195" s="20"/>
      <c r="K195" s="20"/>
      <c r="L195" s="17"/>
      <c r="M195" s="43"/>
      <c r="N195" s="43"/>
      <c r="O195" s="43"/>
      <c r="P195" s="43"/>
      <c r="Q195" s="43"/>
      <c r="R195" s="43"/>
      <c r="S195" s="43"/>
    </row>
    <row r="196" spans="2:19" ht="14.25" hidden="1" outlineLevel="1" x14ac:dyDescent="0.25">
      <c r="B196" s="17"/>
      <c r="C196" s="17"/>
      <c r="D196" s="21" t="s">
        <v>113</v>
      </c>
      <c r="E196" s="21"/>
      <c r="F196" s="74">
        <f>IF(NOT(ISBLANK('Referenz Pflasterwerk'!$I59)),'Referenz Pflasterwerk'!$I59,'Referenz Pflasterwerk'!$F59)*IF(NOT(ISBLANK('Eingabe EF'!$AA44)),'Eingabe EF'!$AA44,0)*IF(NOT(ISBLANK('Referenz Pflasterwerk'!$I$12)),'Referenz Pflasterwerk'!$I$12,'Referenz Pflasterwerk'!$F$12)</f>
        <v>0</v>
      </c>
      <c r="G196" s="74">
        <f>IF(NOT(ISBLANK('Referenz Pflasterwerk'!$I59)),'Referenz Pflasterwerk'!$I59,'Referenz Pflasterwerk'!$F59)*IF(NOT(ISBLANK('Eingabe EF'!$AE44)),'Eingabe EF'!$AE44,0)*IF(NOT(ISBLANK('Referenz Pflasterwerk'!$I$12)),'Referenz Pflasterwerk'!$I$12,'Referenz Pflasterwerk'!$F$12)</f>
        <v>0</v>
      </c>
      <c r="H196" s="74">
        <f>IF(NOT(ISBLANK('Referenz Pflasterwerk'!$I59)),'Referenz Pflasterwerk'!$I59,'Referenz Pflasterwerk'!$F59)*IF(NOT(ISBLANK('Eingabe EF'!$AI44)),'Eingabe EF'!$AI44,0)*IF(NOT(ISBLANK('Referenz Pflasterwerk'!$I$12)),'Referenz Pflasterwerk'!$I$12,'Referenz Pflasterwerk'!$F$12)</f>
        <v>0</v>
      </c>
      <c r="I196" s="21"/>
      <c r="J196" s="74">
        <f>F196+G196</f>
        <v>0</v>
      </c>
      <c r="K196" s="74">
        <f>SUM(F196:H196)</f>
        <v>0</v>
      </c>
      <c r="L196" s="21" t="s">
        <v>198</v>
      </c>
      <c r="M196" s="43"/>
      <c r="N196" s="43"/>
      <c r="O196" s="43"/>
      <c r="P196" s="43"/>
      <c r="Q196" s="43"/>
      <c r="R196" s="43"/>
      <c r="S196" s="43"/>
    </row>
    <row r="197" spans="2:19" ht="14.25" hidden="1" outlineLevel="1" x14ac:dyDescent="0.25">
      <c r="B197" s="17"/>
      <c r="C197" s="17"/>
      <c r="D197" s="21" t="s">
        <v>65</v>
      </c>
      <c r="E197" s="21"/>
      <c r="F197" s="74">
        <f>IF(NOT(ISBLANK('Referenz Pflasterwerk'!$I60)),'Referenz Pflasterwerk'!$I60,'Referenz Pflasterwerk'!$F60)*IF(NOT(ISBLANK('Eingabe EF'!$AA45)),'Eingabe EF'!$AA45,'Eingabe EF'!$Y45)</f>
        <v>0</v>
      </c>
      <c r="G197" s="74">
        <f>IF(NOT(ISBLANK('Referenz Pflasterwerk'!$I60)),'Referenz Pflasterwerk'!$I60,'Referenz Pflasterwerk'!$F60)*IF(NOT(ISBLANK('Eingabe EF'!$AE45)),'Eingabe EF'!$AE45,'Eingabe EF'!$AC45)</f>
        <v>0</v>
      </c>
      <c r="H197" s="74">
        <f>IF(NOT(ISBLANK('Referenz Pflasterwerk'!$I60)),'Referenz Pflasterwerk'!$I60,'Referenz Pflasterwerk'!$F60)*IF(NOT(ISBLANK('Eingabe EF'!$AI45)),'Eingabe EF'!$AI45,'Eingabe EF'!$AG45)</f>
        <v>5.4399999999999997E-2</v>
      </c>
      <c r="I197" s="21"/>
      <c r="J197" s="74">
        <f>F197+G197</f>
        <v>0</v>
      </c>
      <c r="K197" s="74">
        <f>SUM(F197:H197)</f>
        <v>5.4399999999999997E-2</v>
      </c>
      <c r="L197" s="21" t="s">
        <v>198</v>
      </c>
      <c r="M197" s="43"/>
      <c r="N197" s="43"/>
      <c r="O197" s="43"/>
      <c r="P197" s="43"/>
      <c r="Q197" s="43"/>
      <c r="R197" s="43"/>
      <c r="S197" s="43"/>
    </row>
    <row r="198" spans="2:19" hidden="1" outlineLevel="1" x14ac:dyDescent="0.2">
      <c r="B198" s="17"/>
      <c r="C198" s="17"/>
      <c r="D198" s="17"/>
      <c r="E198" s="17"/>
      <c r="F198" s="20"/>
      <c r="G198" s="20"/>
      <c r="H198" s="20"/>
      <c r="I198" s="17"/>
      <c r="J198" s="20"/>
      <c r="K198" s="20"/>
      <c r="L198" s="17"/>
      <c r="M198" s="43"/>
      <c r="N198" s="43"/>
      <c r="O198" s="43"/>
      <c r="P198" s="43"/>
      <c r="Q198" s="43"/>
      <c r="R198" s="43"/>
      <c r="S198" s="43"/>
    </row>
    <row r="199" spans="2:19" ht="14.25" hidden="1" outlineLevel="1" x14ac:dyDescent="0.25">
      <c r="B199" s="69"/>
      <c r="C199" s="69" t="s">
        <v>183</v>
      </c>
      <c r="D199" s="70"/>
      <c r="E199" s="70"/>
      <c r="F199" s="71">
        <f>SUM(F200:F202)</f>
        <v>0</v>
      </c>
      <c r="G199" s="71">
        <f>SUM(G200:G202)</f>
        <v>0</v>
      </c>
      <c r="H199" s="71">
        <f>SUM(H200:H202)</f>
        <v>0</v>
      </c>
      <c r="I199" s="70"/>
      <c r="J199" s="71">
        <f t="shared" ref="J199:J202" si="37">F199+G199</f>
        <v>0</v>
      </c>
      <c r="K199" s="71">
        <f t="shared" ref="K199" si="38">SUM(F199:H199)</f>
        <v>0</v>
      </c>
      <c r="L199" s="76" t="s">
        <v>198</v>
      </c>
      <c r="M199" s="43"/>
      <c r="N199" s="43"/>
      <c r="O199" s="43"/>
      <c r="P199" s="43"/>
      <c r="Q199" s="43"/>
      <c r="R199" s="43"/>
      <c r="S199" s="43"/>
    </row>
    <row r="200" spans="2:19" ht="15.75" hidden="1" outlineLevel="1" x14ac:dyDescent="0.3">
      <c r="B200" s="17"/>
      <c r="C200" s="17"/>
      <c r="D200" s="17" t="s">
        <v>184</v>
      </c>
      <c r="E200" s="17"/>
      <c r="F200" s="38">
        <f>IF(NOT(ISBLANK('Referenz Pflasterwerk'!$I63)),'Referenz Pflasterwerk'!$I63,'Referenz Pflasterwerk'!$F63)*IF(NOT(ISBLANK('Eingabe EF'!$AA48)),'Eingabe EF'!$AA48,0)*IF(NOT(ISBLANK('Referenz Pflasterwerk'!$I$12)),'Referenz Pflasterwerk'!$I$12,'Referenz Pflasterwerk'!$F$12)</f>
        <v>0</v>
      </c>
      <c r="G200" s="38">
        <f>IF(NOT(ISBLANK('Referenz Pflasterwerk'!$I63)),'Referenz Pflasterwerk'!$I63,'Referenz Pflasterwerk'!$F63)*IF(NOT(ISBLANK('Eingabe EF'!$AE48)),'Eingabe EF'!$AE48,0)*IF(NOT(ISBLANK('Referenz Pflasterwerk'!$I$12)),'Referenz Pflasterwerk'!$I$12,'Referenz Pflasterwerk'!$F$12)</f>
        <v>0</v>
      </c>
      <c r="H200" s="38">
        <f>IF(NOT(ISBLANK('Referenz Pflasterwerk'!$I63)),'Referenz Pflasterwerk'!$I63,'Referenz Pflasterwerk'!$F63)*IF(NOT(ISBLANK('Eingabe EF'!$AI48)),'Eingabe EF'!$AI48,0)*IF(NOT(ISBLANK('Referenz Pflasterwerk'!$I$12)),'Referenz Pflasterwerk'!$I$12,'Referenz Pflasterwerk'!$F$12)</f>
        <v>0</v>
      </c>
      <c r="I200" s="17"/>
      <c r="J200" s="38">
        <f t="shared" si="37"/>
        <v>0</v>
      </c>
      <c r="K200" s="38">
        <f t="shared" ref="K200:K202" si="39">SUM(F200:H200)</f>
        <v>0</v>
      </c>
      <c r="L200" s="17" t="s">
        <v>199</v>
      </c>
      <c r="M200" s="43"/>
      <c r="N200" s="43"/>
      <c r="O200" s="43"/>
      <c r="P200" s="43"/>
      <c r="Q200" s="43"/>
      <c r="R200" s="43"/>
      <c r="S200" s="43"/>
    </row>
    <row r="201" spans="2:19" ht="15.75" hidden="1" outlineLevel="1" x14ac:dyDescent="0.3">
      <c r="B201" s="17"/>
      <c r="C201" s="17"/>
      <c r="D201" s="17" t="s">
        <v>63</v>
      </c>
      <c r="E201" s="17"/>
      <c r="F201" s="38">
        <f>IF(NOT(ISBLANK('Referenz Pflasterwerk'!$I64)),'Referenz Pflasterwerk'!$I64,'Referenz Pflasterwerk'!$F64)*IF(NOT(ISBLANK('Eingabe EF'!$AA49)),'Eingabe EF'!$AA49,'Eingabe EF'!$Y49)*IF(NOT(ISBLANK('Referenz Pflasterwerk'!$I$12)),'Referenz Pflasterwerk'!$I$12,'Referenz Pflasterwerk'!$F$12)</f>
        <v>0</v>
      </c>
      <c r="G201" s="38">
        <f>IF(NOT(ISBLANK('Referenz Pflasterwerk'!$I64)),'Referenz Pflasterwerk'!$I64,'Referenz Pflasterwerk'!$F64)*IF(NOT(ISBLANK('Eingabe EF'!$AE49)),'Eingabe EF'!$AE49,'Eingabe EF'!$AC49)*IF(NOT(ISBLANK('Referenz Pflasterwerk'!$I$12)),'Referenz Pflasterwerk'!$I$12,'Referenz Pflasterwerk'!$F$12)</f>
        <v>0</v>
      </c>
      <c r="H201" s="38">
        <f>IF(NOT(ISBLANK('Referenz Pflasterwerk'!$I64)),'Referenz Pflasterwerk'!$I64,'Referenz Pflasterwerk'!$F64)*IF(NOT(ISBLANK('Eingabe EF'!$AI49)),'Eingabe EF'!$AI49,'Eingabe EF'!$AG49)*IF(NOT(ISBLANK('Referenz Pflasterwerk'!$I$12)),'Referenz Pflasterwerk'!$I$12,'Referenz Pflasterwerk'!$F$12)</f>
        <v>0</v>
      </c>
      <c r="I201" s="17"/>
      <c r="J201" s="38">
        <f t="shared" si="37"/>
        <v>0</v>
      </c>
      <c r="K201" s="38">
        <f t="shared" si="39"/>
        <v>0</v>
      </c>
      <c r="L201" s="17" t="s">
        <v>199</v>
      </c>
      <c r="M201" s="43"/>
      <c r="N201" s="43"/>
      <c r="O201" s="43"/>
      <c r="P201" s="43"/>
      <c r="Q201" s="43"/>
      <c r="R201" s="43"/>
      <c r="S201" s="43"/>
    </row>
    <row r="202" spans="2:19" ht="15.75" hidden="1" outlineLevel="1" x14ac:dyDescent="0.3">
      <c r="B202" s="17"/>
      <c r="C202" s="17"/>
      <c r="D202" s="17" t="s">
        <v>185</v>
      </c>
      <c r="E202" s="17"/>
      <c r="F202" s="38">
        <f>IF(NOT(ISBLANK('Referenz Pflasterwerk'!$I65)),'Referenz Pflasterwerk'!$I65,'Referenz Pflasterwerk'!$F65)*IF(NOT(ISBLANK('Eingabe EF'!$AA50)),'Eingabe EF'!$AA50,0)*IF(NOT(ISBLANK('Referenz Pflasterwerk'!$I$12)),'Referenz Pflasterwerk'!$I$12,'Referenz Pflasterwerk'!$F$12)</f>
        <v>0</v>
      </c>
      <c r="G202" s="38">
        <f>IF(NOT(ISBLANK('Referenz Pflasterwerk'!$I65)),'Referenz Pflasterwerk'!$I65,'Referenz Pflasterwerk'!$F65)*IF(NOT(ISBLANK('Eingabe EF'!$AE50)),'Eingabe EF'!$AE50,0)*IF(NOT(ISBLANK('Referenz Pflasterwerk'!$I$12)),'Referenz Pflasterwerk'!$I$12,'Referenz Pflasterwerk'!$F$12)</f>
        <v>0</v>
      </c>
      <c r="H202" s="38">
        <f>IF(NOT(ISBLANK('Referenz Pflasterwerk'!$I65)),'Referenz Pflasterwerk'!$I65,'Referenz Pflasterwerk'!$F65)*IF(NOT(ISBLANK('Eingabe EF'!$AI50)),'Eingabe EF'!$AI50,0)*IF(NOT(ISBLANK('Referenz Pflasterwerk'!$I$12)),'Referenz Pflasterwerk'!$I$12,'Referenz Pflasterwerk'!$F$12)</f>
        <v>0</v>
      </c>
      <c r="I202" s="17"/>
      <c r="J202" s="38">
        <f t="shared" si="37"/>
        <v>0</v>
      </c>
      <c r="K202" s="38">
        <f t="shared" si="39"/>
        <v>0</v>
      </c>
      <c r="L202" s="17" t="s">
        <v>199</v>
      </c>
      <c r="M202" s="43"/>
      <c r="N202" s="43"/>
      <c r="O202" s="43"/>
      <c r="P202" s="43"/>
      <c r="Q202" s="43"/>
      <c r="R202" s="43"/>
      <c r="S202" s="43"/>
    </row>
    <row r="203" spans="2:19" hidden="1" outlineLevel="1" x14ac:dyDescent="0.2">
      <c r="B203" s="17"/>
      <c r="C203" s="17"/>
      <c r="D203" s="17"/>
      <c r="E203" s="17"/>
      <c r="F203" s="20"/>
      <c r="G203" s="20"/>
      <c r="H203" s="20"/>
      <c r="I203" s="17"/>
      <c r="J203" s="17"/>
      <c r="K203" s="17"/>
      <c r="L203" s="20"/>
      <c r="M203" s="43"/>
      <c r="N203" s="43"/>
      <c r="O203" s="43"/>
      <c r="P203" s="43"/>
      <c r="Q203" s="43"/>
      <c r="R203" s="43"/>
      <c r="S203" s="43"/>
    </row>
    <row r="204" spans="2:19" ht="14.25" hidden="1" outlineLevel="1" x14ac:dyDescent="0.25">
      <c r="B204" s="69"/>
      <c r="C204" s="69" t="s">
        <v>186</v>
      </c>
      <c r="D204" s="70"/>
      <c r="E204" s="70"/>
      <c r="F204" s="71">
        <f>SUM(F205:F207)</f>
        <v>0</v>
      </c>
      <c r="G204" s="71">
        <f>SUM(G205:G207)</f>
        <v>0</v>
      </c>
      <c r="H204" s="71">
        <f>SUM(H205:H207)</f>
        <v>0</v>
      </c>
      <c r="I204" s="70"/>
      <c r="J204" s="71">
        <f>F204+G204</f>
        <v>0</v>
      </c>
      <c r="K204" s="71">
        <f t="shared" ref="K204" si="40">SUM(F204:H204)</f>
        <v>0</v>
      </c>
      <c r="L204" s="76" t="s">
        <v>198</v>
      </c>
      <c r="M204" s="43"/>
      <c r="N204" s="43"/>
      <c r="O204" s="43"/>
      <c r="P204" s="43"/>
      <c r="Q204" s="43"/>
      <c r="R204" s="43"/>
      <c r="S204" s="43"/>
    </row>
    <row r="205" spans="2:19" ht="15.75" hidden="1" outlineLevel="1" x14ac:dyDescent="0.3">
      <c r="B205" s="17"/>
      <c r="C205" s="17"/>
      <c r="D205" s="17" t="s">
        <v>67</v>
      </c>
      <c r="E205" s="17"/>
      <c r="F205" s="38">
        <f>IF(NOT(ISBLANK('Referenz Pflasterwerk'!$I68)),'Referenz Pflasterwerk'!$I68,'Referenz Pflasterwerk'!$F68)*IF(NOT(ISBLANK('Eingabe EF'!$AA53)),'Eingabe EF'!$AA53,'Eingabe EF'!$Y53)</f>
        <v>0</v>
      </c>
      <c r="G205" s="38">
        <f>IF(NOT(ISBLANK('Referenz Pflasterwerk'!$I68)),'Referenz Pflasterwerk'!$I68,'Referenz Pflasterwerk'!$F68)*IF(NOT(ISBLANK('Eingabe EF'!$AE53)),'Eingabe EF'!$AE53,'Eingabe EF'!$AC53)</f>
        <v>0</v>
      </c>
      <c r="H205" s="38">
        <f>IF(NOT(ISBLANK('Referenz Pflasterwerk'!$I68)),'Referenz Pflasterwerk'!$I68,'Referenz Pflasterwerk'!$F68)*IF(NOT(ISBLANK('Eingabe EF'!$AI53)),'Eingabe EF'!$AI53,'Eingabe EF'!$AG53)</f>
        <v>0</v>
      </c>
      <c r="I205" s="17"/>
      <c r="J205" s="38">
        <f>F205+G205</f>
        <v>0</v>
      </c>
      <c r="K205" s="38">
        <f>SUM(F205:H205)</f>
        <v>0</v>
      </c>
      <c r="L205" s="17" t="s">
        <v>199</v>
      </c>
      <c r="M205" s="43"/>
      <c r="N205" s="43"/>
      <c r="O205" s="43"/>
      <c r="P205" s="43"/>
      <c r="Q205" s="43"/>
      <c r="R205" s="43"/>
      <c r="S205" s="43"/>
    </row>
    <row r="206" spans="2:19" ht="15.75" hidden="1" outlineLevel="1" x14ac:dyDescent="0.3">
      <c r="B206" s="17"/>
      <c r="C206" s="17"/>
      <c r="D206" s="17" t="s">
        <v>188</v>
      </c>
      <c r="E206" s="17"/>
      <c r="F206" s="38">
        <f>IF(NOT(ISBLANK('Referenz Pflasterwerk'!$I69)),'Referenz Pflasterwerk'!$I69,'Referenz Pflasterwerk'!$F69)*IF(NOT(ISBLANK('Eingabe EF'!$AA54)),'Eingabe EF'!$AA54,0)</f>
        <v>0</v>
      </c>
      <c r="G206" s="38">
        <f>IF(NOT(ISBLANK('Referenz Pflasterwerk'!$I69)),'Referenz Pflasterwerk'!$I69,'Referenz Pflasterwerk'!$F69)*IF(NOT(ISBLANK('Eingabe EF'!$AE54)),'Eingabe EF'!$AE54,0)</f>
        <v>0</v>
      </c>
      <c r="H206" s="38">
        <f>IF(NOT(ISBLANK('Referenz Pflasterwerk'!$I69)),'Referenz Pflasterwerk'!$I69,'Referenz Pflasterwerk'!$F69)*IF(NOT(ISBLANK('Eingabe EF'!$AI54)),'Eingabe EF'!$AI54,0)</f>
        <v>0</v>
      </c>
      <c r="I206" s="17"/>
      <c r="J206" s="38">
        <f t="shared" ref="J206:J207" si="41">F206+G206</f>
        <v>0</v>
      </c>
      <c r="K206" s="38">
        <f t="shared" ref="K206:K207" si="42">SUM(F206:H206)</f>
        <v>0</v>
      </c>
      <c r="L206" s="17" t="s">
        <v>199</v>
      </c>
      <c r="M206" s="43"/>
      <c r="N206" s="43"/>
      <c r="O206" s="43"/>
      <c r="P206" s="43"/>
      <c r="Q206" s="43"/>
      <c r="R206" s="43"/>
      <c r="S206" s="43"/>
    </row>
    <row r="207" spans="2:19" ht="15.75" hidden="1" outlineLevel="1" x14ac:dyDescent="0.3">
      <c r="B207" s="17"/>
      <c r="C207" s="17"/>
      <c r="D207" s="17" t="s">
        <v>187</v>
      </c>
      <c r="E207" s="17"/>
      <c r="F207" s="38">
        <f>IF(NOT(ISBLANK('Referenz Pflasterwerk'!$I70)),'Referenz Pflasterwerk'!$I70,'Referenz Pflasterwerk'!$F70)*IF(NOT(ISBLANK('Eingabe EF'!$AA55)),'Eingabe EF'!$AA55,0)</f>
        <v>0</v>
      </c>
      <c r="G207" s="38">
        <f>IF(NOT(ISBLANK('Referenz Pflasterwerk'!$I70)),'Referenz Pflasterwerk'!$I70,'Referenz Pflasterwerk'!$F70)*IF(NOT(ISBLANK('Eingabe EF'!$AE55)),'Eingabe EF'!$AE55,0)</f>
        <v>0</v>
      </c>
      <c r="H207" s="38">
        <f>IF(NOT(ISBLANK('Referenz Pflasterwerk'!$I70)),'Referenz Pflasterwerk'!$I70,'Referenz Pflasterwerk'!$F70)*IF(NOT(ISBLANK('Eingabe EF'!$AI55)),'Eingabe EF'!$AI55,0)</f>
        <v>0</v>
      </c>
      <c r="I207" s="17"/>
      <c r="J207" s="38">
        <f t="shared" si="41"/>
        <v>0</v>
      </c>
      <c r="K207" s="38">
        <f t="shared" si="42"/>
        <v>0</v>
      </c>
      <c r="L207" s="17" t="s">
        <v>199</v>
      </c>
      <c r="M207" s="43"/>
      <c r="N207" s="43"/>
      <c r="O207" s="43"/>
      <c r="P207" s="43"/>
      <c r="Q207" s="43"/>
      <c r="R207" s="43"/>
      <c r="S207" s="43"/>
    </row>
    <row r="208" spans="2:19" hidden="1" outlineLevel="1" x14ac:dyDescent="0.2">
      <c r="B208" s="17"/>
      <c r="C208" s="17"/>
      <c r="D208" s="17"/>
      <c r="E208" s="17"/>
      <c r="F208" s="20"/>
      <c r="G208" s="20"/>
      <c r="H208" s="20"/>
      <c r="I208" s="17"/>
      <c r="J208" s="17"/>
      <c r="K208" s="17"/>
      <c r="L208" s="20"/>
      <c r="M208" s="43"/>
      <c r="N208" s="43"/>
      <c r="O208" s="43"/>
      <c r="P208" s="43"/>
      <c r="Q208" s="43"/>
      <c r="R208" s="43"/>
      <c r="S208" s="43"/>
    </row>
    <row r="209" spans="2:20" ht="14.25" hidden="1" outlineLevel="1" x14ac:dyDescent="0.25">
      <c r="B209" s="17"/>
      <c r="C209" s="17"/>
      <c r="D209" s="21" t="s">
        <v>64</v>
      </c>
      <c r="E209" s="21"/>
      <c r="F209" s="74">
        <f>IF(NOT(ISBLANK('Referenz Pflasterwerk'!$I72)),'Referenz Pflasterwerk'!$I72,'Referenz Pflasterwerk'!$F72)*IF(NOT(ISBLANK('Eingabe EF'!$AA57)),'Eingabe EF'!$AA57,'Eingabe EF'!$Y57)</f>
        <v>0</v>
      </c>
      <c r="G209" s="74">
        <f>IF(NOT(ISBLANK('Referenz Pflasterwerk'!$I72)),'Referenz Pflasterwerk'!$I72,'Referenz Pflasterwerk'!$F72)*IF(NOT(ISBLANK('Eingabe EF'!$AE57)),'Eingabe EF'!$AE57,'Eingabe EF'!$AC57)</f>
        <v>0</v>
      </c>
      <c r="H209" s="74">
        <f>IF(NOT(ISBLANK('Referenz Pflasterwerk'!$I72)),'Referenz Pflasterwerk'!$I72,'Referenz Pflasterwerk'!$F72)*IF(NOT(ISBLANK('Eingabe EF'!$AI57)),'Eingabe EF'!$AI57,'Eingabe EF'!$AG57)</f>
        <v>161.20000000000002</v>
      </c>
      <c r="I209" s="21"/>
      <c r="J209" s="74">
        <f t="shared" ref="J209" si="43">F209+G209</f>
        <v>0</v>
      </c>
      <c r="K209" s="74">
        <f t="shared" ref="K209" si="44">SUM(F209:H209)</f>
        <v>161.20000000000002</v>
      </c>
      <c r="L209" s="21" t="s">
        <v>198</v>
      </c>
      <c r="M209" s="43"/>
      <c r="N209" s="43"/>
      <c r="O209" s="43"/>
      <c r="P209" s="43"/>
      <c r="Q209" s="43"/>
      <c r="R209" s="43"/>
      <c r="S209" s="43"/>
    </row>
    <row r="210" spans="2:20" hidden="1" outlineLevel="1" x14ac:dyDescent="0.2">
      <c r="B210" s="17"/>
      <c r="C210" s="17"/>
      <c r="D210" s="17"/>
      <c r="E210" s="17"/>
      <c r="F210" s="20"/>
      <c r="G210" s="20"/>
      <c r="H210" s="20"/>
      <c r="I210" s="17"/>
      <c r="J210" s="17"/>
      <c r="K210" s="17"/>
      <c r="L210" s="20"/>
      <c r="M210" s="43"/>
      <c r="N210" s="43"/>
      <c r="O210" s="43"/>
      <c r="P210" s="43"/>
      <c r="Q210" s="43"/>
      <c r="R210" s="43"/>
      <c r="S210" s="43"/>
    </row>
    <row r="211" spans="2:20" ht="15" hidden="1" outlineLevel="1" thickBot="1" x14ac:dyDescent="0.3">
      <c r="B211" s="17"/>
      <c r="C211" s="17"/>
      <c r="D211" s="67" t="s">
        <v>70</v>
      </c>
      <c r="E211" s="67"/>
      <c r="F211" s="68">
        <f>SUM(F154:F209)-F168-F172-F178-F185-F190-F199-F204</f>
        <v>64.071511199999989</v>
      </c>
      <c r="G211" s="68">
        <f>SUM(G154:G209)-G168-G172-G178-G185-G190-G199-G204</f>
        <v>241.61230249163646</v>
      </c>
      <c r="H211" s="68">
        <f>SUM(H154:H209)-H168-H172-H178-H185-H190-H199-H204</f>
        <v>10506.528581640649</v>
      </c>
      <c r="I211" s="21"/>
      <c r="J211" s="68">
        <f t="shared" ref="J211" si="45">SUM(J154:J209)-J168-J172-J178-J185-J190-J199-J204</f>
        <v>305.68381369163649</v>
      </c>
      <c r="K211" s="68">
        <f>SUM(K154:K209)-K168-K172-K178-K185-K190-K199-K204</f>
        <v>10812.212395332283</v>
      </c>
      <c r="L211" s="68" t="s">
        <v>198</v>
      </c>
      <c r="M211" s="43"/>
      <c r="N211" s="43"/>
      <c r="O211" s="43"/>
      <c r="P211" s="43"/>
      <c r="Q211" s="43"/>
      <c r="R211" s="43"/>
      <c r="S211" s="43"/>
    </row>
    <row r="212" spans="2:20" ht="13.5" hidden="1" outlineLevel="1" thickTop="1" x14ac:dyDescent="0.2">
      <c r="B212" s="17"/>
      <c r="C212" s="17"/>
      <c r="D212" s="17"/>
      <c r="E212" s="17"/>
      <c r="F212" s="20"/>
      <c r="G212" s="20"/>
      <c r="H212" s="20"/>
      <c r="I212" s="17"/>
      <c r="J212" s="17"/>
      <c r="K212" s="17"/>
      <c r="L212" s="20"/>
      <c r="M212" s="43"/>
      <c r="N212" s="43"/>
      <c r="O212" s="43"/>
      <c r="P212" s="43"/>
      <c r="Q212" s="43"/>
      <c r="R212" s="43"/>
      <c r="S212" s="43"/>
    </row>
    <row r="213" spans="2:20" collapsed="1" x14ac:dyDescent="0.2"/>
    <row r="215" spans="2:20" ht="15.75" hidden="1" outlineLevel="1" x14ac:dyDescent="0.25">
      <c r="B215" s="22"/>
      <c r="C215" s="22" t="s">
        <v>117</v>
      </c>
      <c r="D215" s="17"/>
      <c r="E215" s="17"/>
      <c r="F215" s="17"/>
      <c r="G215" s="17"/>
      <c r="H215" s="17"/>
      <c r="I215" s="17"/>
      <c r="J215" s="17"/>
      <c r="K215" s="17"/>
      <c r="L215" s="17"/>
      <c r="N215" s="22" t="s">
        <v>120</v>
      </c>
      <c r="O215" s="17"/>
      <c r="P215" s="17"/>
      <c r="Q215" s="17"/>
      <c r="R215" s="17"/>
      <c r="S215" s="17"/>
      <c r="T215" s="17"/>
    </row>
    <row r="216" spans="2:20" ht="15" hidden="1" outlineLevel="1" x14ac:dyDescent="0.25">
      <c r="B216" s="64"/>
      <c r="C216" s="64">
        <v>2030</v>
      </c>
      <c r="D216" s="25"/>
      <c r="E216" s="25"/>
      <c r="F216" s="25"/>
      <c r="G216" s="25"/>
      <c r="H216" s="25"/>
      <c r="I216" s="25"/>
      <c r="J216" s="25"/>
      <c r="K216" s="25"/>
      <c r="L216" s="25"/>
      <c r="N216" s="64">
        <v>2030</v>
      </c>
      <c r="O216" s="17"/>
      <c r="P216" s="17"/>
      <c r="Q216" s="17"/>
      <c r="R216" s="17"/>
      <c r="S216" s="17"/>
      <c r="T216" s="17"/>
    </row>
    <row r="217" spans="2:20" hidden="1" outlineLevel="1" x14ac:dyDescent="0.2">
      <c r="B217" s="302"/>
      <c r="C217" s="17"/>
      <c r="D217" s="17" t="s">
        <v>230</v>
      </c>
      <c r="E217" s="42">
        <f>IF(NOT(ISBLANK(K23)),K23,I23)-IF(NOT(ISBLANK(G23)),G23,E23)</f>
        <v>5</v>
      </c>
      <c r="F217" s="17"/>
      <c r="G217" s="17"/>
      <c r="H217" s="17"/>
      <c r="I217" s="17"/>
      <c r="J217" s="17"/>
      <c r="K217" s="17"/>
      <c r="L217" s="17"/>
      <c r="N217" s="17"/>
      <c r="O217" s="17"/>
      <c r="P217" s="17"/>
      <c r="Q217" s="17"/>
      <c r="R217" s="17"/>
      <c r="S217" s="17"/>
      <c r="T217" s="17"/>
    </row>
    <row r="218" spans="2:20" hidden="1" outlineLevel="1" x14ac:dyDescent="0.2">
      <c r="B218" s="17"/>
      <c r="C218" s="17"/>
      <c r="D218" s="17"/>
      <c r="E218" s="17"/>
      <c r="F218" s="17"/>
      <c r="G218" s="17"/>
      <c r="H218" s="17"/>
      <c r="I218" s="17"/>
      <c r="J218" s="17"/>
      <c r="K218" s="17"/>
      <c r="L218" s="17"/>
      <c r="N218" s="17"/>
      <c r="O218" s="17"/>
      <c r="P218" s="17"/>
      <c r="Q218" s="17"/>
      <c r="R218" s="17"/>
      <c r="S218" s="17"/>
      <c r="T218" s="17"/>
    </row>
    <row r="219" spans="2:20" ht="25.5" hidden="1" outlineLevel="1" x14ac:dyDescent="0.2">
      <c r="B219" s="17"/>
      <c r="C219" s="17"/>
      <c r="D219" s="17"/>
      <c r="E219" s="17"/>
      <c r="F219" s="36" t="s">
        <v>27</v>
      </c>
      <c r="G219" s="36" t="s">
        <v>85</v>
      </c>
      <c r="H219" s="36" t="s">
        <v>29</v>
      </c>
      <c r="I219" s="17"/>
      <c r="J219" s="40" t="s">
        <v>114</v>
      </c>
      <c r="K219" s="41" t="s">
        <v>40</v>
      </c>
      <c r="L219" s="17"/>
      <c r="N219" s="17"/>
      <c r="O219" s="17"/>
      <c r="P219" s="17"/>
      <c r="Q219" s="18"/>
      <c r="R219" s="17"/>
      <c r="S219" s="18"/>
      <c r="T219" s="18"/>
    </row>
    <row r="220" spans="2:20" ht="14.25" hidden="1" outlineLevel="1" x14ac:dyDescent="0.25">
      <c r="B220" s="76"/>
      <c r="C220" s="76" t="s">
        <v>191</v>
      </c>
      <c r="D220" s="76"/>
      <c r="E220" s="76"/>
      <c r="F220" s="77">
        <f>SUM(F222:F235)</f>
        <v>21.542142239999997</v>
      </c>
      <c r="G220" s="77">
        <f>SUM(G222:G235)</f>
        <v>135.5669943518796</v>
      </c>
      <c r="H220" s="77">
        <f>SUM(H222:H235)</f>
        <v>23.558701347081822</v>
      </c>
      <c r="I220" s="76"/>
      <c r="J220" s="77">
        <f>F220+G220</f>
        <v>157.1091365918796</v>
      </c>
      <c r="K220" s="77">
        <f>SUM(F220:H220)</f>
        <v>180.66783793896144</v>
      </c>
      <c r="L220" s="76" t="s">
        <v>198</v>
      </c>
      <c r="N220" s="17"/>
      <c r="O220" s="17"/>
      <c r="P220" s="17"/>
      <c r="Q220" s="18"/>
      <c r="R220" s="17"/>
      <c r="S220" s="18"/>
      <c r="T220" s="18"/>
    </row>
    <row r="221" spans="2:20" hidden="1" outlineLevel="1" x14ac:dyDescent="0.2">
      <c r="B221" s="17"/>
      <c r="C221" s="17" t="s">
        <v>148</v>
      </c>
      <c r="D221" s="17"/>
      <c r="E221" s="17"/>
      <c r="F221" s="17"/>
      <c r="G221" s="17"/>
      <c r="H221" s="17"/>
      <c r="I221" s="17"/>
      <c r="J221" s="17"/>
      <c r="K221" s="17"/>
      <c r="L221" s="17"/>
      <c r="N221" s="17" t="s">
        <v>148</v>
      </c>
      <c r="O221" s="17"/>
      <c r="P221" s="17"/>
      <c r="Q221" s="18"/>
      <c r="R221" s="17"/>
      <c r="S221" s="18"/>
      <c r="T221" s="18"/>
    </row>
    <row r="222" spans="2:20" ht="15.75" hidden="1" outlineLevel="1" x14ac:dyDescent="0.3">
      <c r="B222" s="17"/>
      <c r="C222" s="17"/>
      <c r="D222" s="17" t="s">
        <v>128</v>
      </c>
      <c r="E222" s="17"/>
      <c r="F222" s="38">
        <f>IF(NOT(ISBLANK('Referenz Pflasterwerk'!$I16)),'Referenz Pflasterwerk'!$I16,'Referenz Pflasterwerk'!$F16)*IF(NOT(ISBLANK('Eingabe EF'!$AS9)),'Eingabe EF'!$AS9,'Eingabe EF'!$AQ9)</f>
        <v>1.6484399999999999</v>
      </c>
      <c r="G222" s="38">
        <f>IF(NOT(ISBLANK('Referenz Pflasterwerk'!$I16)),'Referenz Pflasterwerk'!$I16,'Referenz Pflasterwerk'!$F16)*IF(NOT(ISBLANK('Eingabe EF'!$AW9)),'Eingabe EF'!$AW9,'Eingabe EF'!$AU9)</f>
        <v>0</v>
      </c>
      <c r="H222" s="38">
        <f>IF(NOT(ISBLANK('Referenz Pflasterwerk'!$I16)),'Referenz Pflasterwerk'!$I16,'Referenz Pflasterwerk'!$F16)*IF(NOT(ISBLANK('Eingabe EF'!$BA9)),'Eingabe EF'!$BA9,'Eingabe EF'!$AY9)</f>
        <v>0.28215000000000001</v>
      </c>
      <c r="I222" s="17"/>
      <c r="J222" s="38">
        <f>F222+G222</f>
        <v>1.6484399999999999</v>
      </c>
      <c r="K222" s="38">
        <f>SUM(F222:H222)</f>
        <v>1.93059</v>
      </c>
      <c r="L222" s="17" t="s">
        <v>199</v>
      </c>
      <c r="N222" s="17"/>
      <c r="O222" s="17" t="s">
        <v>128</v>
      </c>
      <c r="P222" s="17"/>
      <c r="Q222" s="19"/>
      <c r="R222" s="17"/>
      <c r="S222" s="42">
        <f>IF(NOT(ISBLANK('Referenz Pflasterwerk'!$I16)),'Referenz Pflasterwerk'!$I16,'Referenz Pflasterwerk'!$F16)/1000*IF(NOT(ISBLANK('Eingabe Preise'!$O10)),'Eingabe Preise'!$O10,'Eingabe Preise'!$M10)</f>
        <v>549</v>
      </c>
      <c r="T222" s="20" t="s">
        <v>109</v>
      </c>
    </row>
    <row r="223" spans="2:20" ht="15.75" hidden="1" outlineLevel="1" x14ac:dyDescent="0.3">
      <c r="B223" s="17"/>
      <c r="C223" s="17"/>
      <c r="D223" s="17" t="s">
        <v>166</v>
      </c>
      <c r="E223" s="17"/>
      <c r="F223" s="38">
        <f>IF(NOT(ISBLANK('Referenz Pflasterwerk'!$I17)),'Referenz Pflasterwerk'!$I17,'Referenz Pflasterwerk'!$F17)*IF(NOT(ISBLANK('Eingabe EF'!$AS10)),'Eingabe EF'!$AS10,'Eingabe EF'!$AQ10)</f>
        <v>0.53351999999999999</v>
      </c>
      <c r="G223" s="38">
        <f>IF(NOT(ISBLANK('Referenz Pflasterwerk'!$I17)),'Referenz Pflasterwerk'!$I17,'Referenz Pflasterwerk'!$F17)*IF(NOT(ISBLANK('Eingabe EF'!$AW10)),'Eingabe EF'!$AW10,'Eingabe EF'!$AU10)</f>
        <v>0</v>
      </c>
      <c r="H223" s="38">
        <f>IF(NOT(ISBLANK('Referenz Pflasterwerk'!$I17)),'Referenz Pflasterwerk'!$I17,'Referenz Pflasterwerk'!$F17)*IF(NOT(ISBLANK('Eingabe EF'!$BA10)),'Eingabe EF'!$BA10,'Eingabe EF'!$AY10)</f>
        <v>7.9152E-2</v>
      </c>
      <c r="I223" s="17"/>
      <c r="J223" s="38">
        <f>F223+G223</f>
        <v>0.53351999999999999</v>
      </c>
      <c r="K223" s="38">
        <f>SUM(F223:H223)</f>
        <v>0.61267199999999999</v>
      </c>
      <c r="L223" s="17" t="s">
        <v>199</v>
      </c>
      <c r="N223" s="17"/>
      <c r="O223" s="17" t="s">
        <v>166</v>
      </c>
      <c r="P223" s="17"/>
      <c r="Q223" s="20"/>
      <c r="R223" s="17"/>
      <c r="S223" s="42">
        <f>IF(NOT(ISBLANK('Referenz Pflasterwerk'!$I17)),'Referenz Pflasterwerk'!$I17,'Referenz Pflasterwerk'!$F17)/1000*IF(NOT(ISBLANK('Eingabe Preise'!$O11)),'Eingabe Preise'!$O11,'Eingabe Preise'!$M11)</f>
        <v>92</v>
      </c>
      <c r="T223" s="20" t="s">
        <v>109</v>
      </c>
    </row>
    <row r="224" spans="2:20" ht="15.75" hidden="1" outlineLevel="1" x14ac:dyDescent="0.3">
      <c r="B224" s="17"/>
      <c r="C224" s="17"/>
      <c r="D224" s="17" t="s">
        <v>154</v>
      </c>
      <c r="E224" s="17"/>
      <c r="F224" s="38">
        <f>IF(NOT(ISBLANK('Referenz Pflasterwerk'!$I18)),'Referenz Pflasterwerk'!$I18,'Referenz Pflasterwerk'!$F18)*IF(NOT(ISBLANK('Eingabe EF'!$AS11)),'Eingabe EF'!$AS11,'Eingabe EF'!$AQ11)</f>
        <v>0</v>
      </c>
      <c r="G224" s="38">
        <f>IF(NOT(ISBLANK('Referenz Pflasterwerk'!$I18)),'Referenz Pflasterwerk'!$I18,'Referenz Pflasterwerk'!$F18)*IF(NOT(ISBLANK('Eingabe EF'!$AW11)),'Eingabe EF'!$AW11,'Eingabe EF'!$AU11)</f>
        <v>20.517518282036853</v>
      </c>
      <c r="H224" s="38">
        <f>IF(NOT(ISBLANK('Referenz Pflasterwerk'!$I18)),'Referenz Pflasterwerk'!$I18,'Referenz Pflasterwerk'!$F18)*IF(NOT(ISBLANK('Eingabe EF'!$BA11)),'Eingabe EF'!$BA11,'Eingabe EF'!$AY11)</f>
        <v>3.0078037272095908</v>
      </c>
      <c r="I224" s="17"/>
      <c r="J224" s="38">
        <f>F224+G224</f>
        <v>20.517518282036853</v>
      </c>
      <c r="K224" s="38">
        <f>SUM(F224:H224)</f>
        <v>23.525322009246445</v>
      </c>
      <c r="L224" s="17" t="s">
        <v>199</v>
      </c>
      <c r="N224" s="17"/>
      <c r="O224" s="17" t="s">
        <v>154</v>
      </c>
      <c r="P224" s="17"/>
      <c r="Q224" s="20"/>
      <c r="R224" s="17"/>
      <c r="S224" s="42">
        <f>IF(NOT(ISBLANK('Referenz Pflasterwerk'!$I18)),'Referenz Pflasterwerk'!$I18,'Referenz Pflasterwerk'!$F18)/1000*IF(NOT(ISBLANK('Eingabe Preise'!$O12)),'Eingabe Preise'!$O12,'Eingabe Preise'!$M12)</f>
        <v>25800</v>
      </c>
      <c r="T224" s="20" t="s">
        <v>109</v>
      </c>
    </row>
    <row r="225" spans="2:20" ht="15.75" hidden="1" outlineLevel="1" x14ac:dyDescent="0.3">
      <c r="B225" s="17"/>
      <c r="C225" s="17"/>
      <c r="D225" s="17" t="s">
        <v>129</v>
      </c>
      <c r="E225" s="17"/>
      <c r="F225" s="44">
        <f>IF(NOT(ISBLANK('Referenz Pflasterwerk'!$I19)),'Referenz Pflasterwerk'!$I19,'Referenz Pflasterwerk'!$F19)*IF(NOT(ISBLANK('Eingabe EF'!$AS12)),'Eingabe EF'!$AS12,0)</f>
        <v>0</v>
      </c>
      <c r="G225" s="44">
        <f>IF(NOT(ISBLANK('Referenz Pflasterwerk'!$I19)),'Referenz Pflasterwerk'!$I19,'Referenz Pflasterwerk'!$F19)*IF(NOT(ISBLANK('Eingabe EF'!$AW12)),'Eingabe EF'!$AW12,0)</f>
        <v>0</v>
      </c>
      <c r="H225" s="44">
        <f>IF(NOT(ISBLANK('Referenz Pflasterwerk'!$I19)),'Referenz Pflasterwerk'!$I19,'Referenz Pflasterwerk'!$F19)*IF(NOT(ISBLANK('Eingabe EF'!$BA12)),'Eingabe EF'!$BA12,0)</f>
        <v>0</v>
      </c>
      <c r="I225" s="17"/>
      <c r="J225" s="38">
        <f>F225+G225</f>
        <v>0</v>
      </c>
      <c r="K225" s="38">
        <f>SUM(F225:H225)</f>
        <v>0</v>
      </c>
      <c r="L225" s="17" t="s">
        <v>199</v>
      </c>
      <c r="N225" s="17"/>
      <c r="O225" s="17" t="s">
        <v>129</v>
      </c>
      <c r="P225" s="17"/>
      <c r="Q225" s="20"/>
      <c r="R225" s="17"/>
      <c r="S225" s="42">
        <f>IF(NOT(ISBLANK('Referenz Pflasterwerk'!$I19)),'Referenz Pflasterwerk'!$I19,'Referenz Pflasterwerk'!$F19)/1000*IF(NOT(ISBLANK('Eingabe Preise'!$O16)),'Eingabe Preise'!$O16,0)</f>
        <v>0</v>
      </c>
      <c r="T225" s="20" t="s">
        <v>109</v>
      </c>
    </row>
    <row r="226" spans="2:20" hidden="1" outlineLevel="1" x14ac:dyDescent="0.2">
      <c r="B226" s="17"/>
      <c r="C226" s="17" t="s">
        <v>149</v>
      </c>
      <c r="D226" s="17"/>
      <c r="E226" s="17"/>
      <c r="F226" s="17"/>
      <c r="G226" s="17"/>
      <c r="H226" s="17"/>
      <c r="I226" s="17"/>
      <c r="J226" s="17"/>
      <c r="K226" s="17"/>
      <c r="L226" s="17"/>
      <c r="N226" s="17" t="s">
        <v>149</v>
      </c>
      <c r="O226" s="17"/>
      <c r="P226" s="17"/>
      <c r="Q226" s="20"/>
      <c r="R226" s="17"/>
      <c r="S226" s="20"/>
      <c r="T226" s="20"/>
    </row>
    <row r="227" spans="2:20" ht="15.75" hidden="1" outlineLevel="1" x14ac:dyDescent="0.3">
      <c r="B227" s="17"/>
      <c r="C227" s="17"/>
      <c r="D227" s="17" t="s">
        <v>32</v>
      </c>
      <c r="E227" s="17"/>
      <c r="F227" s="44">
        <f>IF(NOT(ISBLANK('Referenz Pflasterwerk'!$I21)),'Referenz Pflasterwerk'!$I21,'Referenz Pflasterwerk'!$F21)*IF(NOT(ISBLANK('Eingabe EF'!$AS9)),'Eingabe EF'!$AS9,'Eingabe EF'!$AQ9)</f>
        <v>6.5937599999999996</v>
      </c>
      <c r="G227" s="44">
        <f>IF(NOT(ISBLANK('Referenz Pflasterwerk'!$I21)),'Referenz Pflasterwerk'!$I21,'Referenz Pflasterwerk'!$F21)*IF(NOT(ISBLANK('Eingabe EF'!$AW9)),'Eingabe EF'!$AW9,'Eingabe EF'!$AU9)</f>
        <v>0</v>
      </c>
      <c r="H227" s="44">
        <f>IF(NOT(ISBLANK('Referenz Pflasterwerk'!$I21)),'Referenz Pflasterwerk'!$I21,'Referenz Pflasterwerk'!$F21)*IF(NOT(ISBLANK('Eingabe EF'!$BA9)),'Eingabe EF'!$BA9,'Eingabe EF'!$AY9)</f>
        <v>1.1286</v>
      </c>
      <c r="I227" s="17"/>
      <c r="J227" s="38">
        <f t="shared" ref="J227:J228" si="46">F227+G227</f>
        <v>6.5937599999999996</v>
      </c>
      <c r="K227" s="38">
        <f t="shared" ref="K227:K228" si="47">SUM(F227:H227)</f>
        <v>7.7223600000000001</v>
      </c>
      <c r="L227" s="17" t="s">
        <v>199</v>
      </c>
      <c r="N227" s="17"/>
      <c r="O227" s="17" t="s">
        <v>32</v>
      </c>
      <c r="P227" s="17"/>
      <c r="Q227" s="20"/>
      <c r="R227" s="17"/>
      <c r="S227" s="42">
        <f>IF(NOT(ISBLANK('Referenz Pflasterwerk'!$I21)),'Referenz Pflasterwerk'!$I21,'Referenz Pflasterwerk'!$F21)/1000*IF(NOT(ISBLANK('Eingabe Preise'!$O10)),'Eingabe Preise'!$O10,'Eingabe Preise'!$M10)</f>
        <v>2196</v>
      </c>
      <c r="T227" s="20" t="s">
        <v>109</v>
      </c>
    </row>
    <row r="228" spans="2:20" ht="15.75" hidden="1" outlineLevel="1" x14ac:dyDescent="0.3">
      <c r="B228" s="17"/>
      <c r="C228" s="17"/>
      <c r="D228" s="17" t="s">
        <v>33</v>
      </c>
      <c r="E228" s="17"/>
      <c r="F228" s="44">
        <f>IF(NOT(ISBLANK('Referenz Pflasterwerk'!$I22)),'Referenz Pflasterwerk'!$I22,'Referenz Pflasterwerk'!$F22)*IF(NOT(ISBLANK('Eingabe EF'!$AS10)),'Eingabe EF'!$AS10,'Eingabe EF'!$AQ10)</f>
        <v>2.13408</v>
      </c>
      <c r="G228" s="44">
        <f>IF(NOT(ISBLANK('Referenz Pflasterwerk'!$I22)),'Referenz Pflasterwerk'!$I22,'Referenz Pflasterwerk'!$F22)*IF(NOT(ISBLANK('Eingabe EF'!$AW10)),'Eingabe EF'!$AW10,'Eingabe EF'!$AU10)</f>
        <v>0</v>
      </c>
      <c r="H228" s="44">
        <f>IF(NOT(ISBLANK('Referenz Pflasterwerk'!$I22)),'Referenz Pflasterwerk'!$I22,'Referenz Pflasterwerk'!$F22)*IF(NOT(ISBLANK('Eingabe EF'!$BA10)),'Eingabe EF'!$BA10,'Eingabe EF'!$AY10)</f>
        <v>0.316608</v>
      </c>
      <c r="I228" s="17"/>
      <c r="J228" s="38">
        <f t="shared" si="46"/>
        <v>2.13408</v>
      </c>
      <c r="K228" s="38">
        <f t="shared" si="47"/>
        <v>2.450688</v>
      </c>
      <c r="L228" s="17" t="s">
        <v>199</v>
      </c>
      <c r="N228" s="17"/>
      <c r="O228" s="17" t="s">
        <v>33</v>
      </c>
      <c r="P228" s="17"/>
      <c r="Q228" s="20"/>
      <c r="R228" s="17"/>
      <c r="S228" s="42">
        <f>IF(NOT(ISBLANK('Referenz Pflasterwerk'!$I22)),'Referenz Pflasterwerk'!$I22,'Referenz Pflasterwerk'!$F22)/1000*IF(NOT(ISBLANK('Eingabe Preise'!$O11)),'Eingabe Preise'!$O11,'Eingabe Preise'!$M11)</f>
        <v>368</v>
      </c>
      <c r="T228" s="20" t="s">
        <v>109</v>
      </c>
    </row>
    <row r="229" spans="2:20" hidden="1" outlineLevel="1" x14ac:dyDescent="0.2">
      <c r="B229" s="17"/>
      <c r="C229" s="17" t="s">
        <v>150</v>
      </c>
      <c r="D229" s="17"/>
      <c r="E229" s="17"/>
      <c r="F229" s="17"/>
      <c r="G229" s="17"/>
      <c r="H229" s="17"/>
      <c r="I229" s="17"/>
      <c r="J229" s="17"/>
      <c r="K229" s="17"/>
      <c r="L229" s="17"/>
      <c r="N229" s="17" t="s">
        <v>150</v>
      </c>
      <c r="O229" s="17"/>
      <c r="P229" s="17"/>
      <c r="Q229" s="20"/>
      <c r="R229" s="17"/>
      <c r="S229" s="20"/>
      <c r="T229" s="20"/>
    </row>
    <row r="230" spans="2:20" ht="15.75" hidden="1" outlineLevel="1" x14ac:dyDescent="0.3">
      <c r="B230" s="302"/>
      <c r="C230" s="17"/>
      <c r="D230" s="17" t="s">
        <v>152</v>
      </c>
      <c r="E230" s="17"/>
      <c r="F230" s="44">
        <f>(IF(NOT(ISBLANK('Referenz Pflasterwerk'!$I24)),'Referenz Pflasterwerk'!$I24,'Referenz Pflasterwerk'!$F24)+E148*E25+E217*I25)*IF(NOT(ISBLANK('Eingabe EF'!$AS11)),'Eingabe EF'!$AS11,'Eingabe EF'!$AQ11)</f>
        <v>0</v>
      </c>
      <c r="G230" s="44">
        <f>(IF(NOT(ISBLANK('Referenz Pflasterwerk'!$I24)),'Referenz Pflasterwerk'!$I24,'Referenz Pflasterwerk'!$F24)+E148*E25+E217*I25)*IF(NOT(ISBLANK('Eingabe EF'!$AW11)),'Eingabe EF'!$AW11,'Eingabe EF'!$AU11)</f>
        <v>115.04947606984274</v>
      </c>
      <c r="H230" s="44">
        <f>(IF(NOT(ISBLANK('Referenz Pflasterwerk'!$I24)),'Referenz Pflasterwerk'!$I24,'Referenz Pflasterwerk'!$F24)+E148*E25+E217*I25)*IF(NOT(ISBLANK('Eingabe EF'!$BA11)),'Eingabe EF'!$BA11,'Eingabe EF'!$AY11)</f>
        <v>16.865891779872232</v>
      </c>
      <c r="I230" s="17"/>
      <c r="J230" s="38">
        <f t="shared" ref="J230:J238" si="48">F230+G230</f>
        <v>115.04947606984274</v>
      </c>
      <c r="K230" s="38">
        <f t="shared" ref="K230:K238" si="49">SUM(F230:H230)</f>
        <v>131.91536784971498</v>
      </c>
      <c r="L230" s="17" t="s">
        <v>199</v>
      </c>
      <c r="N230" s="302"/>
      <c r="O230" s="17" t="s">
        <v>152</v>
      </c>
      <c r="P230" s="17"/>
      <c r="Q230" s="20"/>
      <c r="R230" s="17"/>
      <c r="S230" s="42">
        <f>(IF(NOT(ISBLANK('Referenz Pflasterwerk'!$I24)),'Referenz Pflasterwerk'!$I24,'Referenz Pflasterwerk'!$F24)+E148*E25+E217*I25)/1000*IF(NOT(ISBLANK('Eingabe Preise'!$O12)),'Eingabe Preise'!$O12,'Eingabe Preise'!$M12)</f>
        <v>144670.34666666668</v>
      </c>
      <c r="T230" s="20" t="s">
        <v>109</v>
      </c>
    </row>
    <row r="231" spans="2:20" ht="15.75" hidden="1" outlineLevel="1" x14ac:dyDescent="0.3">
      <c r="B231" s="17"/>
      <c r="C231" s="17"/>
      <c r="D231" s="17" t="s">
        <v>125</v>
      </c>
      <c r="E231" s="17"/>
      <c r="F231" s="44">
        <f>IF(NOT(ISBLANK('Referenz Pflasterwerk'!$I25)),'Referenz Pflasterwerk'!$I25,'Referenz Pflasterwerk'!$F25)*IF(NOT(ISBLANK('Eingabe EF'!$AS13)),'Eingabe EF'!$AS13,'Eingabe EF'!$AQ13)</f>
        <v>0</v>
      </c>
      <c r="G231" s="44">
        <f>IF(NOT(ISBLANK('Referenz Pflasterwerk'!$I25)),'Referenz Pflasterwerk'!$I25,'Referenz Pflasterwerk'!$F25)*IF(NOT(ISBLANK('Eingabe EF'!$AW13)),'Eingabe EF'!$AW13,'Eingabe EF'!$AU13)</f>
        <v>0</v>
      </c>
      <c r="H231" s="44">
        <f>IF(NOT(ISBLANK('Referenz Pflasterwerk'!$I25)),'Referenz Pflasterwerk'!$I25,'Referenz Pflasterwerk'!$F25)*IF(NOT(ISBLANK('Eingabe EF'!$BA13)),'Eingabe EF'!$BA13,'Eingabe EF'!$AY13)</f>
        <v>0</v>
      </c>
      <c r="I231" s="17"/>
      <c r="J231" s="38">
        <f t="shared" si="48"/>
        <v>0</v>
      </c>
      <c r="K231" s="38">
        <f t="shared" si="49"/>
        <v>0</v>
      </c>
      <c r="L231" s="17" t="s">
        <v>199</v>
      </c>
      <c r="N231" s="17"/>
      <c r="O231" s="17" t="s">
        <v>125</v>
      </c>
      <c r="P231" s="17"/>
      <c r="Q231" s="20"/>
      <c r="R231" s="17"/>
      <c r="S231" s="42">
        <f>IF(NOT(ISBLANK('Referenz Pflasterwerk'!$I25)),'Referenz Pflasterwerk'!$I25,'Referenz Pflasterwerk'!$F25)/1000*IF(NOT(ISBLANK('Eingabe Preise'!$O13)),'Eingabe Preise'!$O13,'Eingabe Preise'!$M13)</f>
        <v>0</v>
      </c>
      <c r="T231" s="20" t="s">
        <v>109</v>
      </c>
    </row>
    <row r="232" spans="2:20" ht="15.75" hidden="1" outlineLevel="1" x14ac:dyDescent="0.3">
      <c r="B232" s="17"/>
      <c r="C232" s="17"/>
      <c r="D232" s="17" t="s">
        <v>151</v>
      </c>
      <c r="E232" s="17"/>
      <c r="F232" s="44">
        <f>IF(NOT(ISBLANK('Referenz Pflasterwerk'!$I26)),'Referenz Pflasterwerk'!$I26,'Referenz Pflasterwerk'!$F26)*IF(NOT(ISBLANK('Eingabe EF'!$AS14)),'Eingabe EF'!$AS14,0)</f>
        <v>0</v>
      </c>
      <c r="G232" s="44">
        <f>IF(NOT(ISBLANK('Referenz Pflasterwerk'!$I26)),'Referenz Pflasterwerk'!$I26,'Referenz Pflasterwerk'!$F26)*IF(NOT(ISBLANK('Eingabe EF'!$AW14)),'Eingabe EF'!$AW14,0)</f>
        <v>0</v>
      </c>
      <c r="H232" s="44">
        <f>IF(NOT(ISBLANK('Referenz Pflasterwerk'!$I26)),'Referenz Pflasterwerk'!$I26,'Referenz Pflasterwerk'!$F26)*IF(NOT(ISBLANK('Eingabe EF'!$BA14)),'Eingabe EF'!$BA14,0)</f>
        <v>0</v>
      </c>
      <c r="I232" s="17"/>
      <c r="J232" s="38">
        <f t="shared" si="48"/>
        <v>0</v>
      </c>
      <c r="K232" s="38">
        <f t="shared" si="49"/>
        <v>0</v>
      </c>
      <c r="L232" s="17" t="s">
        <v>199</v>
      </c>
      <c r="N232" s="17"/>
      <c r="O232" s="17" t="s">
        <v>151</v>
      </c>
      <c r="P232" s="17"/>
      <c r="Q232" s="30"/>
      <c r="R232" s="17"/>
      <c r="S232" s="42">
        <f>IF(NOT(ISBLANK('Referenz Pflasterwerk'!$I26)),'Referenz Pflasterwerk'!$I26,'Referenz Pflasterwerk'!$F26)/1000*IF(NOT(ISBLANK('Eingabe Preise'!$O17)),'Eingabe Preise'!$O17,0)</f>
        <v>0</v>
      </c>
      <c r="T232" s="20" t="s">
        <v>109</v>
      </c>
    </row>
    <row r="233" spans="2:20" hidden="1" outlineLevel="1" x14ac:dyDescent="0.2">
      <c r="B233" s="17"/>
      <c r="C233" s="17"/>
      <c r="D233" s="17"/>
      <c r="E233" s="17"/>
      <c r="F233" s="17"/>
      <c r="G233" s="17"/>
      <c r="H233" s="17"/>
      <c r="I233" s="17"/>
      <c r="J233" s="17"/>
      <c r="K233" s="17"/>
      <c r="L233" s="17"/>
      <c r="N233" s="17"/>
      <c r="O233" s="17"/>
      <c r="P233" s="17"/>
      <c r="Q233" s="30"/>
      <c r="R233" s="17"/>
      <c r="S233" s="17"/>
      <c r="T233" s="17"/>
    </row>
    <row r="234" spans="2:20" ht="15.75" hidden="1" outlineLevel="1" x14ac:dyDescent="0.3">
      <c r="B234" s="302"/>
      <c r="C234" s="17" t="s">
        <v>78</v>
      </c>
      <c r="D234" s="17" t="s">
        <v>35</v>
      </c>
      <c r="E234" s="17"/>
      <c r="F234" s="44">
        <f>(IF(NOT(ISBLANK('Referenz Pflasterwerk'!$I28)),'Referenz Pflasterwerk'!$I28,'Referenz Pflasterwerk'!$F28)-(E217+E148)*E17)*IF(NOT(ISBLANK('Eingabe EF'!$AS15)),'Eingabe EF'!$AS15,'Eingabe EF'!$AQ15)</f>
        <v>0</v>
      </c>
      <c r="G234" s="44">
        <f>(IF(NOT(ISBLANK('Referenz Pflasterwerk'!$I28)),'Referenz Pflasterwerk'!$I28,'Referenz Pflasterwerk'!$F28)-(E217+E148)*E17)*IF(NOT(ISBLANK('Eingabe EF'!$AW15)),'Eingabe EF'!$AW15,'Eingabe EF'!$AU15)</f>
        <v>0</v>
      </c>
      <c r="H234" s="44">
        <f>(IF(NOT(ISBLANK('Referenz Pflasterwerk'!$I28)),'Referenz Pflasterwerk'!$I28,'Referenz Pflasterwerk'!$F28)-(E217+E148)*E17)*IF(NOT(ISBLANK('Eingabe EF'!$BA15)),'Eingabe EF'!$BA15,'Eingabe EF'!$AY15)</f>
        <v>0</v>
      </c>
      <c r="I234" s="17"/>
      <c r="J234" s="38">
        <f t="shared" ref="J234:J236" si="50">F234+G234</f>
        <v>0</v>
      </c>
      <c r="K234" s="38">
        <f t="shared" ref="K234:K236" si="51">SUM(F234:H234)</f>
        <v>0</v>
      </c>
      <c r="L234" s="17" t="s">
        <v>199</v>
      </c>
      <c r="N234" s="302"/>
      <c r="O234" s="17" t="s">
        <v>35</v>
      </c>
      <c r="P234" s="17" t="s">
        <v>78</v>
      </c>
      <c r="Q234" s="30"/>
      <c r="R234" s="17"/>
      <c r="S234" s="42">
        <f>(IF(NOT(ISBLANK('Referenz Pflasterwerk'!$I28)),'Referenz Pflasterwerk'!$I28,'Referenz Pflasterwerk'!$F28)-(E217+E148)*E17)*IF(NOT(ISBLANK('Eingabe Preise'!$O14)),'Eingabe Preise'!$O14,'Eingabe Preise'!$M14)</f>
        <v>0</v>
      </c>
      <c r="T234" s="20" t="s">
        <v>109</v>
      </c>
    </row>
    <row r="235" spans="2:20" ht="15.75" hidden="1" outlineLevel="1" x14ac:dyDescent="0.3">
      <c r="B235" s="17"/>
      <c r="C235" s="17" t="s">
        <v>77</v>
      </c>
      <c r="D235" s="17" t="s">
        <v>35</v>
      </c>
      <c r="E235" s="17"/>
      <c r="F235" s="44">
        <f>IF(NOT(ISBLANK('Referenz Pflasterwerk'!$I29)),'Referenz Pflasterwerk'!$I29,'Referenz Pflasterwerk'!$F29)*IF(NOT(ISBLANK('Eingabe EF'!$AS15)),'Eingabe EF'!$AS15,'Eingabe EF'!$AQ15)</f>
        <v>10.632342239999998</v>
      </c>
      <c r="G235" s="44">
        <f>IF(NOT(ISBLANK('Referenz Pflasterwerk'!$I29)),'Referenz Pflasterwerk'!$I29,'Referenz Pflasterwerk'!$F29)*IF(NOT(ISBLANK('Eingabe EF'!$AW15)),'Eingabe EF'!$AW15,'Eingabe EF'!$AU15)</f>
        <v>0</v>
      </c>
      <c r="H235" s="44">
        <f>IF(NOT(ISBLANK('Referenz Pflasterwerk'!$I29)),'Referenz Pflasterwerk'!$I29,'Referenz Pflasterwerk'!$F29)*IF(NOT(ISBLANK('Eingabe EF'!$BA15)),'Eingabe EF'!$BA15,'Eingabe EF'!$AY15)</f>
        <v>1.8784958400000002</v>
      </c>
      <c r="I235" s="17"/>
      <c r="J235" s="38">
        <f t="shared" si="50"/>
        <v>10.632342239999998</v>
      </c>
      <c r="K235" s="38">
        <f t="shared" si="51"/>
        <v>12.510838079999999</v>
      </c>
      <c r="L235" s="17" t="s">
        <v>199</v>
      </c>
      <c r="N235" s="17"/>
      <c r="O235" s="17" t="s">
        <v>35</v>
      </c>
      <c r="P235" s="17" t="s">
        <v>77</v>
      </c>
      <c r="Q235" s="30"/>
      <c r="R235" s="17"/>
      <c r="S235" s="42">
        <f>IF(NOT(ISBLANK('Referenz Pflasterwerk'!$I29)),'Referenz Pflasterwerk'!$I29,'Referenz Pflasterwerk'!$F29)*IF(NOT(ISBLANK('Eingabe Preise'!$O14)),'Eingabe Preise'!$O14,'Eingabe Preise'!$M14)</f>
        <v>4496</v>
      </c>
      <c r="T235" s="20" t="s">
        <v>109</v>
      </c>
    </row>
    <row r="236" spans="2:20" ht="14.25" hidden="1" outlineLevel="1" x14ac:dyDescent="0.25">
      <c r="B236" s="69"/>
      <c r="C236" s="69" t="s">
        <v>190</v>
      </c>
      <c r="D236" s="69"/>
      <c r="E236" s="69"/>
      <c r="F236" s="71">
        <f>F237+F238</f>
        <v>0</v>
      </c>
      <c r="G236" s="71">
        <f t="shared" ref="G236:H236" si="52">G237+G238</f>
        <v>0</v>
      </c>
      <c r="H236" s="71">
        <f t="shared" si="52"/>
        <v>578.62626120000004</v>
      </c>
      <c r="I236" s="69"/>
      <c r="J236" s="71">
        <f t="shared" si="50"/>
        <v>0</v>
      </c>
      <c r="K236" s="71">
        <f t="shared" si="51"/>
        <v>578.62626120000004</v>
      </c>
      <c r="L236" s="76" t="s">
        <v>198</v>
      </c>
      <c r="N236" s="17"/>
      <c r="O236" s="17"/>
      <c r="P236" s="17"/>
      <c r="Q236" s="30"/>
      <c r="R236" s="17"/>
      <c r="S236" s="17"/>
      <c r="T236" s="17"/>
    </row>
    <row r="237" spans="2:20" ht="15.75" hidden="1" outlineLevel="1" x14ac:dyDescent="0.3">
      <c r="B237" s="17"/>
      <c r="C237" s="17"/>
      <c r="D237" s="17" t="s">
        <v>46</v>
      </c>
      <c r="E237" s="17"/>
      <c r="F237" s="44">
        <f>IF(NOT(ISBLANK('Referenz Pflasterwerk'!$I32)),'Referenz Pflasterwerk'!$I32,'Referenz Pflasterwerk'!$F32)*IF(NOT(ISBLANK('Eingabe EF'!$AS17)),'Eingabe EF'!$AS17,'Eingabe EF'!$AQ17)</f>
        <v>0</v>
      </c>
      <c r="G237" s="44">
        <f>IF(NOT(ISBLANK('Referenz Pflasterwerk'!$I32)),'Referenz Pflasterwerk'!$I32,'Referenz Pflasterwerk'!$F32)*IF(NOT(ISBLANK('Eingabe EF'!$AW17)),'Eingabe EF'!$AW17,'Eingabe EF'!$AU17)</f>
        <v>0</v>
      </c>
      <c r="H237" s="44">
        <f>IF(NOT(ISBLANK('Referenz Pflasterwerk'!$I32)),'Referenz Pflasterwerk'!$I32,'Referenz Pflasterwerk'!$F32)*IF(NOT(ISBLANK('Eingabe EF'!$BA17)),'Eingabe EF'!$BA17,'Eingabe EF'!$AY17)</f>
        <v>250.21676159999998</v>
      </c>
      <c r="I237" s="17"/>
      <c r="J237" s="38">
        <f t="shared" si="48"/>
        <v>0</v>
      </c>
      <c r="K237" s="38">
        <f t="shared" si="49"/>
        <v>250.21676159999998</v>
      </c>
      <c r="L237" s="17" t="s">
        <v>199</v>
      </c>
      <c r="N237" s="17"/>
      <c r="O237" s="17"/>
      <c r="P237" s="17"/>
      <c r="Q237" s="30"/>
      <c r="R237" s="17"/>
      <c r="S237" s="17"/>
      <c r="T237" s="17"/>
    </row>
    <row r="238" spans="2:20" ht="15.75" hidden="1" outlineLevel="1" x14ac:dyDescent="0.3">
      <c r="B238" s="17"/>
      <c r="C238" s="17"/>
      <c r="D238" s="17" t="s">
        <v>47</v>
      </c>
      <c r="E238" s="17"/>
      <c r="F238" s="44">
        <f>IF(NOT(ISBLANK('Referenz Pflasterwerk'!$I33)),'Referenz Pflasterwerk'!$I33,'Referenz Pflasterwerk'!$F33)*IF(NOT(ISBLANK('Eingabe EF'!$AS18)),'Eingabe EF'!$AS18,'Eingabe EF'!$AQ18)</f>
        <v>0</v>
      </c>
      <c r="G238" s="44">
        <f>IF(NOT(ISBLANK('Referenz Pflasterwerk'!$I33)),'Referenz Pflasterwerk'!$I33,'Referenz Pflasterwerk'!$F33)*IF(NOT(ISBLANK('Eingabe EF'!$AW18)),'Eingabe EF'!$AW18,'Eingabe EF'!$AU18)</f>
        <v>0</v>
      </c>
      <c r="H238" s="44">
        <f>IF(NOT(ISBLANK('Referenz Pflasterwerk'!$I33)),'Referenz Pflasterwerk'!$I33,'Referenz Pflasterwerk'!$F33)*IF(NOT(ISBLANK('Eingabe EF'!$BA18)),'Eingabe EF'!$BA18,'Eingabe EF'!$AY18)</f>
        <v>328.4094996</v>
      </c>
      <c r="I238" s="17"/>
      <c r="J238" s="38">
        <f t="shared" si="48"/>
        <v>0</v>
      </c>
      <c r="K238" s="38">
        <f t="shared" si="49"/>
        <v>328.4094996</v>
      </c>
      <c r="L238" s="17" t="s">
        <v>199</v>
      </c>
      <c r="N238" s="17"/>
      <c r="O238" s="17" t="s">
        <v>31</v>
      </c>
      <c r="P238" s="17"/>
      <c r="Q238" s="30"/>
      <c r="R238" s="17"/>
      <c r="S238" s="42">
        <f>S251+S252</f>
        <v>270000</v>
      </c>
      <c r="T238" s="20" t="s">
        <v>109</v>
      </c>
    </row>
    <row r="239" spans="2:20" hidden="1" outlineLevel="1" x14ac:dyDescent="0.2">
      <c r="B239" s="17"/>
      <c r="C239" s="17"/>
      <c r="D239" s="17"/>
      <c r="E239" s="17"/>
      <c r="F239" s="20"/>
      <c r="G239" s="20"/>
      <c r="H239" s="20"/>
      <c r="I239" s="17"/>
      <c r="J239" s="20"/>
      <c r="K239" s="20"/>
      <c r="L239" s="17"/>
      <c r="N239" s="17"/>
      <c r="O239" s="45" t="s">
        <v>155</v>
      </c>
      <c r="P239" s="17"/>
      <c r="Q239" s="30"/>
      <c r="R239" s="17"/>
      <c r="S239" s="42">
        <f>IF(NOT(ISBLANK($K$28)),$K$28,$I$28)</f>
        <v>0</v>
      </c>
      <c r="T239" s="20" t="s">
        <v>109</v>
      </c>
    </row>
    <row r="240" spans="2:20" ht="14.25" hidden="1" outlineLevel="1" x14ac:dyDescent="0.25">
      <c r="B240" s="69"/>
      <c r="C240" s="69" t="s">
        <v>69</v>
      </c>
      <c r="D240" s="70"/>
      <c r="E240" s="70"/>
      <c r="F240" s="71">
        <f>SUM(F241:F244)</f>
        <v>0</v>
      </c>
      <c r="G240" s="71">
        <f t="shared" ref="G240" si="53">SUM(G241:G244)</f>
        <v>0</v>
      </c>
      <c r="H240" s="71">
        <f>SUM(H241:H244)</f>
        <v>7683.24</v>
      </c>
      <c r="I240" s="70"/>
      <c r="J240" s="71">
        <f t="shared" ref="J240:J244" si="54">F240+G240</f>
        <v>0</v>
      </c>
      <c r="K240" s="71">
        <f t="shared" ref="K240" si="55">SUM(F240:H240)</f>
        <v>7683.24</v>
      </c>
      <c r="L240" s="76" t="s">
        <v>198</v>
      </c>
      <c r="N240" s="17"/>
      <c r="O240" s="45" t="s">
        <v>162</v>
      </c>
      <c r="P240" s="17"/>
      <c r="Q240" s="30"/>
      <c r="R240" s="17"/>
      <c r="S240" s="42">
        <f>S254+S255</f>
        <v>0</v>
      </c>
      <c r="T240" s="20" t="s">
        <v>109</v>
      </c>
    </row>
    <row r="241" spans="2:20" ht="15.75" hidden="1" outlineLevel="1" x14ac:dyDescent="0.3">
      <c r="B241" s="17"/>
      <c r="C241" s="17"/>
      <c r="D241" s="17" t="s">
        <v>48</v>
      </c>
      <c r="E241" s="17"/>
      <c r="F241" s="38">
        <f>IF(NOT(ISBLANK('Referenz Pflasterwerk'!$I36)),'Referenz Pflasterwerk'!$I36,'Referenz Pflasterwerk'!$F36)*IF(NOT(ISBLANK('Eingabe EF'!$AS21)),'Eingabe EF'!$AS21,'Eingabe EF'!$AQ21)*IF(NOT(ISBLANK('Referenz Pflasterwerk'!$I$12)),'Referenz Pflasterwerk'!$I$12,'Referenz Pflasterwerk'!$F$12)</f>
        <v>0</v>
      </c>
      <c r="G241" s="38">
        <f>IF(NOT(ISBLANK('Referenz Pflasterwerk'!$I36)),'Referenz Pflasterwerk'!$I36,'Referenz Pflasterwerk'!$F36)*IF(NOT(ISBLANK('Eingabe EF'!$AW21)),'Eingabe EF'!$AW21,'Eingabe EF'!$AU21)*IF(NOT(ISBLANK('Referenz Pflasterwerk'!$I$12)),'Referenz Pflasterwerk'!$I$12,'Referenz Pflasterwerk'!$F$12)</f>
        <v>0</v>
      </c>
      <c r="H241" s="38">
        <f>IF(NOT(ISBLANK('Referenz Pflasterwerk'!$I36)),'Referenz Pflasterwerk'!$I36,'Referenz Pflasterwerk'!$F36)*IF(NOT(ISBLANK('Eingabe EF'!$BA21)),'Eingabe EF'!$BA21,'Eingabe EF'!$AY21)*IF(NOT(ISBLANK('Referenz Pflasterwerk'!$I$12)),'Referenz Pflasterwerk'!$I$12,'Referenz Pflasterwerk'!$F$12)</f>
        <v>2144.625</v>
      </c>
      <c r="I241" s="17"/>
      <c r="J241" s="38">
        <f t="shared" si="54"/>
        <v>0</v>
      </c>
      <c r="K241" s="38">
        <f t="shared" ref="K241:K244" si="56">SUM(F241:H241)</f>
        <v>2144.625</v>
      </c>
      <c r="L241" s="17" t="s">
        <v>199</v>
      </c>
      <c r="N241" s="17"/>
      <c r="O241" s="17"/>
      <c r="P241" s="17"/>
      <c r="Q241" s="17"/>
      <c r="R241" s="17"/>
      <c r="S241" s="17"/>
      <c r="T241" s="17"/>
    </row>
    <row r="242" spans="2:20" ht="15.75" hidden="1" outlineLevel="1" x14ac:dyDescent="0.3">
      <c r="B242" s="17"/>
      <c r="C242" s="17"/>
      <c r="D242" s="17" t="s">
        <v>50</v>
      </c>
      <c r="E242" s="17"/>
      <c r="F242" s="38">
        <f>IF(NOT(ISBLANK('Referenz Pflasterwerk'!$I37)),'Referenz Pflasterwerk'!$I37,'Referenz Pflasterwerk'!$F37)*IF(NOT(ISBLANK('Eingabe EF'!$AS22)),'Eingabe EF'!$AS22,'Eingabe EF'!$AQ22)*IF(NOT(ISBLANK('Referenz Pflasterwerk'!$I$12)),'Referenz Pflasterwerk'!$I$12,'Referenz Pflasterwerk'!$F$12)</f>
        <v>0</v>
      </c>
      <c r="G242" s="38">
        <f>IF(NOT(ISBLANK('Referenz Pflasterwerk'!$I37)),'Referenz Pflasterwerk'!$I37,'Referenz Pflasterwerk'!$F37)*IF(NOT(ISBLANK('Eingabe EF'!$AW22)),'Eingabe EF'!$AW22,'Eingabe EF'!$AU22)*IF(NOT(ISBLANK('Referenz Pflasterwerk'!$I$12)),'Referenz Pflasterwerk'!$I$12,'Referenz Pflasterwerk'!$F$12)</f>
        <v>0</v>
      </c>
      <c r="H242" s="38">
        <f>IF(NOT(ISBLANK('Referenz Pflasterwerk'!$I37)),'Referenz Pflasterwerk'!$I37,'Referenz Pflasterwerk'!$F37)*IF(NOT(ISBLANK('Eingabe EF'!$BA22)),'Eingabe EF'!$BA22,'Eingabe EF'!$AY22)*IF(NOT(ISBLANK('Referenz Pflasterwerk'!$I$12)),'Referenz Pflasterwerk'!$I$12,'Referenz Pflasterwerk'!$F$12)</f>
        <v>4993.59</v>
      </c>
      <c r="I242" s="17"/>
      <c r="J242" s="38">
        <f t="shared" si="54"/>
        <v>0</v>
      </c>
      <c r="K242" s="38">
        <f t="shared" si="56"/>
        <v>4993.59</v>
      </c>
      <c r="L242" s="17" t="s">
        <v>199</v>
      </c>
      <c r="N242" s="17"/>
      <c r="O242" s="17"/>
      <c r="P242" s="17"/>
      <c r="Q242" s="17"/>
      <c r="R242" s="17"/>
      <c r="S242" s="17"/>
      <c r="T242" s="17"/>
    </row>
    <row r="243" spans="2:20" ht="15.75" hidden="1" outlineLevel="1" x14ac:dyDescent="0.3">
      <c r="B243" s="17"/>
      <c r="C243" s="17"/>
      <c r="D243" s="17" t="s">
        <v>51</v>
      </c>
      <c r="E243" s="17"/>
      <c r="F243" s="38">
        <f>IF(NOT(ISBLANK('Referenz Pflasterwerk'!$I38)),'Referenz Pflasterwerk'!$I38,'Referenz Pflasterwerk'!$F38)*IF(NOT(ISBLANK('Eingabe EF'!$AS23)),'Eingabe EF'!$AS23,'Eingabe EF'!$AQ23)*IF(NOT(ISBLANK('Referenz Pflasterwerk'!$I$12)),'Referenz Pflasterwerk'!$I$12,'Referenz Pflasterwerk'!$F$12)</f>
        <v>0</v>
      </c>
      <c r="G243" s="38">
        <f>IF(NOT(ISBLANK('Referenz Pflasterwerk'!$I38)),'Referenz Pflasterwerk'!$I38,'Referenz Pflasterwerk'!$F38)*IF(NOT(ISBLANK('Eingabe EF'!$AW23)),'Eingabe EF'!$AW23,'Eingabe EF'!$AU23)*IF(NOT(ISBLANK('Referenz Pflasterwerk'!$I$12)),'Referenz Pflasterwerk'!$I$12,'Referenz Pflasterwerk'!$F$12)</f>
        <v>0</v>
      </c>
      <c r="H243" s="38">
        <f>IF(NOT(ISBLANK('Referenz Pflasterwerk'!$I38)),'Referenz Pflasterwerk'!$I38,'Referenz Pflasterwerk'!$F38)*IF(NOT(ISBLANK('Eingabe EF'!$BA23)),'Eingabe EF'!$BA23,'Eingabe EF'!$AY23)*IF(NOT(ISBLANK('Referenz Pflasterwerk'!$I$12)),'Referenz Pflasterwerk'!$I$12,'Referenz Pflasterwerk'!$F$12)</f>
        <v>545.02499999999998</v>
      </c>
      <c r="I243" s="17"/>
      <c r="J243" s="38">
        <f t="shared" si="54"/>
        <v>0</v>
      </c>
      <c r="K243" s="38">
        <f t="shared" si="56"/>
        <v>545.02499999999998</v>
      </c>
      <c r="L243" s="17" t="s">
        <v>199</v>
      </c>
      <c r="N243" s="17"/>
      <c r="O243" s="17" t="s">
        <v>201</v>
      </c>
      <c r="P243" s="17"/>
      <c r="Q243" s="30"/>
      <c r="R243" s="17"/>
      <c r="S243" s="42">
        <f>F279*IF(NOT(ISBLANK('Eingabe Preise'!$O21)),'Eingabe Preise'!$O21,'Eingabe Preise'!$M21)</f>
        <v>1723.3713791999999</v>
      </c>
      <c r="T243" s="20" t="s">
        <v>109</v>
      </c>
    </row>
    <row r="244" spans="2:20" ht="15.75" hidden="1" outlineLevel="1" x14ac:dyDescent="0.3">
      <c r="B244" s="17"/>
      <c r="C244" s="17"/>
      <c r="D244" s="17" t="s">
        <v>163</v>
      </c>
      <c r="E244" s="17"/>
      <c r="F244" s="38">
        <f>IF(NOT(ISBLANK('Referenz Pflasterwerk'!$I39)),'Referenz Pflasterwerk'!$I39,'Referenz Pflasterwerk'!$F39)*IF(NOT(ISBLANK('Eingabe EF'!$AS24)),'Eingabe EF'!$AS24,0)*IF(NOT(ISBLANK('Referenz Pflasterwerk'!$I$12)),'Referenz Pflasterwerk'!$I$12,'Referenz Pflasterwerk'!$F$12)</f>
        <v>0</v>
      </c>
      <c r="G244" s="38">
        <f>IF(NOT(ISBLANK('Referenz Pflasterwerk'!$I39)),'Referenz Pflasterwerk'!$I39,'Referenz Pflasterwerk'!$F39)*IF(NOT(ISBLANK('Eingabe EF'!$AW24)),'Eingabe EF'!$AW24,0)*IF(NOT(ISBLANK('Referenz Pflasterwerk'!$I$12)),'Referenz Pflasterwerk'!$I$12,'Referenz Pflasterwerk'!$F$12)</f>
        <v>0</v>
      </c>
      <c r="H244" s="38">
        <f>IF(NOT(ISBLANK('Referenz Pflasterwerk'!$I39)),'Referenz Pflasterwerk'!$I39,'Referenz Pflasterwerk'!$F39)*IF(NOT(ISBLANK('Eingabe EF'!$BA24)),'Eingabe EF'!$BA24,0)*IF(NOT(ISBLANK('Referenz Pflasterwerk'!$I$12)),'Referenz Pflasterwerk'!$I$12,'Referenz Pflasterwerk'!$F$12)</f>
        <v>0</v>
      </c>
      <c r="I244" s="17"/>
      <c r="J244" s="38">
        <f t="shared" si="54"/>
        <v>0</v>
      </c>
      <c r="K244" s="38">
        <f t="shared" si="56"/>
        <v>0</v>
      </c>
      <c r="L244" s="17" t="s">
        <v>199</v>
      </c>
      <c r="N244" s="17"/>
      <c r="O244" s="17" t="s">
        <v>202</v>
      </c>
      <c r="P244" s="17"/>
      <c r="Q244" s="30"/>
      <c r="R244" s="17"/>
      <c r="S244" s="42">
        <f>G279*IF(NOT(ISBLANK('Eingabe Preise'!$O22)),'Eingabe Preise'!$O22,'Eingabe Preise'!$M22)</f>
        <v>10845.359548150369</v>
      </c>
      <c r="T244" s="20" t="s">
        <v>109</v>
      </c>
    </row>
    <row r="245" spans="2:20" ht="15.75" hidden="1" outlineLevel="1" x14ac:dyDescent="0.3">
      <c r="B245" s="17"/>
      <c r="C245" s="17"/>
      <c r="D245" s="17"/>
      <c r="E245" s="17"/>
      <c r="F245" s="17"/>
      <c r="G245" s="17"/>
      <c r="H245" s="17"/>
      <c r="I245" s="17"/>
      <c r="J245" s="20"/>
      <c r="K245" s="20"/>
      <c r="L245" s="17"/>
      <c r="N245" s="17"/>
      <c r="O245" s="17" t="s">
        <v>203</v>
      </c>
      <c r="P245" s="17"/>
      <c r="Q245" s="30"/>
      <c r="R245" s="17"/>
      <c r="S245" s="42">
        <f>H279*IF(NOT(ISBLANK('Eingabe Preise'!$O23)),'Eingabe Preise'!$O23,'Eingabe Preise'!$M23)</f>
        <v>838677.4951387184</v>
      </c>
      <c r="T245" s="20" t="s">
        <v>109</v>
      </c>
    </row>
    <row r="246" spans="2:20" ht="14.25" hidden="1" outlineLevel="1" x14ac:dyDescent="0.25">
      <c r="B246" s="69"/>
      <c r="C246" s="69" t="s">
        <v>178</v>
      </c>
      <c r="D246" s="70"/>
      <c r="E246" s="70"/>
      <c r="F246" s="71">
        <f>SUM(F247:F249)</f>
        <v>0</v>
      </c>
      <c r="G246" s="71">
        <f t="shared" ref="G246:H246" si="57">SUM(G247:G249)</f>
        <v>0</v>
      </c>
      <c r="H246" s="71">
        <f t="shared" si="57"/>
        <v>387.03000000000003</v>
      </c>
      <c r="I246" s="70"/>
      <c r="J246" s="71">
        <f t="shared" ref="J246" si="58">F246+G246</f>
        <v>0</v>
      </c>
      <c r="K246" s="71">
        <f t="shared" ref="K246" si="59">SUM(F246:H246)</f>
        <v>387.03000000000003</v>
      </c>
      <c r="L246" s="76" t="s">
        <v>198</v>
      </c>
      <c r="N246" s="17"/>
      <c r="O246" s="17"/>
      <c r="P246" s="17"/>
      <c r="Q246" s="17"/>
      <c r="R246" s="17"/>
      <c r="S246" s="17"/>
      <c r="T246" s="17"/>
    </row>
    <row r="247" spans="2:20" ht="15.75" hidden="1" outlineLevel="1" x14ac:dyDescent="0.3">
      <c r="B247" s="17"/>
      <c r="C247" s="17"/>
      <c r="D247" s="17" t="s">
        <v>179</v>
      </c>
      <c r="E247" s="17"/>
      <c r="F247" s="38">
        <f>IF(NOT(ISBLANK('Referenz Pflasterwerk'!$I42)),'Referenz Pflasterwerk'!$I42,'Referenz Pflasterwerk'!$F42)*IF(NOT(ISBLANK('Eingabe EF'!$AS27)),'Eingabe EF'!$AS27,'Eingabe EF'!$AQ27)*IF(NOT(ISBLANK('Referenz Pflasterwerk'!$I$12)),'Referenz Pflasterwerk'!$I$12,'Referenz Pflasterwerk'!$F$12)</f>
        <v>0</v>
      </c>
      <c r="G247" s="38">
        <f>IF(NOT(ISBLANK('Referenz Pflasterwerk'!$I42)),'Referenz Pflasterwerk'!$I42,'Referenz Pflasterwerk'!$F42)*IF(NOT(ISBLANK('Eingabe EF'!$AW27)),'Eingabe EF'!$AW27,'Eingabe EF'!$AU27)*IF(NOT(ISBLANK('Referenz Pflasterwerk'!$I$12)),'Referenz Pflasterwerk'!$I$12,'Referenz Pflasterwerk'!$F$12)</f>
        <v>0</v>
      </c>
      <c r="H247" s="38">
        <f>IF(NOT(ISBLANK('Referenz Pflasterwerk'!$I42)),'Referenz Pflasterwerk'!$I42,'Referenz Pflasterwerk'!$F42)*IF(NOT(ISBLANK('Eingabe EF'!$BA27)),'Eingabe EF'!$BA27,'Eingabe EF'!$AY27)*IF(NOT(ISBLANK('Referenz Pflasterwerk'!$I$12)),'Referenz Pflasterwerk'!$I$12,'Referenz Pflasterwerk'!$F$12)</f>
        <v>387.03000000000003</v>
      </c>
      <c r="I247" s="17"/>
      <c r="J247" s="38">
        <f>F247+G247</f>
        <v>0</v>
      </c>
      <c r="K247" s="38">
        <f>SUM(F247:H247)</f>
        <v>387.03000000000003</v>
      </c>
      <c r="L247" s="17" t="s">
        <v>199</v>
      </c>
      <c r="N247" s="17"/>
      <c r="O247" s="17"/>
      <c r="P247" s="17"/>
      <c r="Q247" s="17"/>
      <c r="R247" s="17"/>
      <c r="S247" s="17"/>
      <c r="T247" s="17"/>
    </row>
    <row r="248" spans="2:20" ht="15.75" hidden="1" outlineLevel="1" x14ac:dyDescent="0.3">
      <c r="B248" s="17"/>
      <c r="C248" s="17"/>
      <c r="D248" s="17" t="s">
        <v>180</v>
      </c>
      <c r="E248" s="17"/>
      <c r="F248" s="38">
        <f>IF(NOT(ISBLANK('Referenz Pflasterwerk'!$I43)),'Referenz Pflasterwerk'!$I43,'Referenz Pflasterwerk'!$F43)*IF(NOT(ISBLANK('Eingabe EF'!$AS28)),'Eingabe EF'!$AS28,0)*IF(NOT(ISBLANK('Referenz Pflasterwerk'!$I$12)),'Referenz Pflasterwerk'!$I$12,'Referenz Pflasterwerk'!$F$12)</f>
        <v>0</v>
      </c>
      <c r="G248" s="38">
        <f>IF(NOT(ISBLANK('Referenz Pflasterwerk'!$I43)),'Referenz Pflasterwerk'!$I43,'Referenz Pflasterwerk'!$F43)*IF(NOT(ISBLANK('Eingabe EF'!$AW28)),'Eingabe EF'!$AW28,0)*IF(NOT(ISBLANK('Referenz Pflasterwerk'!$I$12)),'Referenz Pflasterwerk'!$I$12,'Referenz Pflasterwerk'!$F$12)</f>
        <v>0</v>
      </c>
      <c r="H248" s="38">
        <f>IF(NOT(ISBLANK('Referenz Pflasterwerk'!$I43)),'Referenz Pflasterwerk'!$I43,'Referenz Pflasterwerk'!$F43)*IF(NOT(ISBLANK('Eingabe EF'!$BA28)),'Eingabe EF'!$BA28,0)*IF(NOT(ISBLANK('Referenz Pflasterwerk'!$I$12)),'Referenz Pflasterwerk'!$I$12,'Referenz Pflasterwerk'!$F$12)</f>
        <v>0</v>
      </c>
      <c r="I248" s="17"/>
      <c r="J248" s="38">
        <f>F248+G248</f>
        <v>0</v>
      </c>
      <c r="K248" s="38">
        <f t="shared" ref="K248:K249" si="60">SUM(F248:H248)</f>
        <v>0</v>
      </c>
      <c r="L248" s="17" t="s">
        <v>199</v>
      </c>
      <c r="N248" s="17"/>
      <c r="O248" s="17"/>
      <c r="P248" s="17"/>
      <c r="Q248" s="17"/>
      <c r="R248" s="17"/>
      <c r="S248" s="17"/>
      <c r="T248" s="17"/>
    </row>
    <row r="249" spans="2:20" ht="15.75" hidden="1" outlineLevel="1" x14ac:dyDescent="0.3">
      <c r="B249" s="17"/>
      <c r="C249" s="17"/>
      <c r="D249" s="17" t="s">
        <v>181</v>
      </c>
      <c r="E249" s="17"/>
      <c r="F249" s="38">
        <f>IF(NOT(ISBLANK('Referenz Pflasterwerk'!$I44)),'Referenz Pflasterwerk'!$I44,'Referenz Pflasterwerk'!$F44)*IF(NOT(ISBLANK('Eingabe EF'!$AS29)),'Eingabe EF'!$AS29,0)*IF(NOT(ISBLANK('Referenz Pflasterwerk'!$I$12)),'Referenz Pflasterwerk'!$I$12,'Referenz Pflasterwerk'!$F$12)</f>
        <v>0</v>
      </c>
      <c r="G249" s="38">
        <f>IF(NOT(ISBLANK('Referenz Pflasterwerk'!$I44)),'Referenz Pflasterwerk'!$I44,'Referenz Pflasterwerk'!$F44)*IF(NOT(ISBLANK('Eingabe EF'!$AW29)),'Eingabe EF'!$AW29,0)*IF(NOT(ISBLANK('Referenz Pflasterwerk'!$I$12)),'Referenz Pflasterwerk'!$I$12,'Referenz Pflasterwerk'!$F$12)</f>
        <v>0</v>
      </c>
      <c r="H249" s="38">
        <f>IF(NOT(ISBLANK('Referenz Pflasterwerk'!$I44)),'Referenz Pflasterwerk'!$I44,'Referenz Pflasterwerk'!$F44)*IF(NOT(ISBLANK('Eingabe EF'!$BA29)),'Eingabe EF'!$BA29,0)*IF(NOT(ISBLANK('Referenz Pflasterwerk'!$I$12)),'Referenz Pflasterwerk'!$I$12,'Referenz Pflasterwerk'!$F$12)</f>
        <v>0</v>
      </c>
      <c r="I249" s="17"/>
      <c r="J249" s="38">
        <f t="shared" ref="J249" si="61">F249+G249</f>
        <v>0</v>
      </c>
      <c r="K249" s="38">
        <f t="shared" si="60"/>
        <v>0</v>
      </c>
      <c r="L249" s="17" t="s">
        <v>199</v>
      </c>
      <c r="N249" s="17"/>
      <c r="O249" s="17"/>
      <c r="P249" s="17"/>
      <c r="Q249" s="18"/>
      <c r="R249" s="17"/>
      <c r="S249" s="18"/>
      <c r="T249" s="18"/>
    </row>
    <row r="250" spans="2:20" hidden="1" outlineLevel="1" x14ac:dyDescent="0.2">
      <c r="B250" s="17"/>
      <c r="C250" s="17"/>
      <c r="D250" s="17"/>
      <c r="E250" s="17"/>
      <c r="F250" s="17"/>
      <c r="G250" s="17"/>
      <c r="H250" s="17"/>
      <c r="I250" s="17"/>
      <c r="J250" s="20"/>
      <c r="K250" s="20"/>
      <c r="L250" s="17"/>
      <c r="N250" s="21" t="s">
        <v>224</v>
      </c>
      <c r="O250" s="17"/>
      <c r="P250" s="17"/>
      <c r="Q250" s="17"/>
      <c r="R250" s="17"/>
      <c r="S250" s="17"/>
      <c r="T250" s="17"/>
    </row>
    <row r="251" spans="2:20" ht="14.25" hidden="1" outlineLevel="1" x14ac:dyDescent="0.25">
      <c r="B251" s="17"/>
      <c r="C251" s="17"/>
      <c r="D251" s="21" t="s">
        <v>58</v>
      </c>
      <c r="E251" s="21"/>
      <c r="F251" s="74">
        <f>IF(NOT(ISBLANK('Referenz Pflasterwerk'!$I46)),'Referenz Pflasterwerk'!$I46,'Referenz Pflasterwerk'!$F46)*IF(NOT(ISBLANK('Eingabe EF'!$AS31)),'Eingabe EF'!$AS31,'Eingabe EF'!$AQ31)*IF(NOT(ISBLANK('Referenz Pflasterwerk'!$I$12)),'Referenz Pflasterwerk'!$I$12,'Referenz Pflasterwerk'!$F$12)</f>
        <v>0</v>
      </c>
      <c r="G251" s="74">
        <f>IF(NOT(ISBLANK('Referenz Pflasterwerk'!$I46)),'Referenz Pflasterwerk'!$I46,'Referenz Pflasterwerk'!$F46)*IF(NOT(ISBLANK('Eingabe EF'!$AW31)),'Eingabe EF'!$AW31,'Eingabe EF'!$AU31)*IF(NOT(ISBLANK('Referenz Pflasterwerk'!$I$12)),'Referenz Pflasterwerk'!$I$12,'Referenz Pflasterwerk'!$F$12)</f>
        <v>0</v>
      </c>
      <c r="H251" s="74">
        <f>IF(NOT(ISBLANK('Referenz Pflasterwerk'!$I46)),'Referenz Pflasterwerk'!$I46,'Referenz Pflasterwerk'!$F46)*IF(NOT(ISBLANK('Eingabe EF'!$BA31)),'Eingabe EF'!$BA31,'Eingabe EF'!$AY31)*IF(NOT(ISBLANK('Referenz Pflasterwerk'!$I$12)),'Referenz Pflasterwerk'!$I$12,'Referenz Pflasterwerk'!$F$12)</f>
        <v>1040</v>
      </c>
      <c r="I251" s="21"/>
      <c r="J251" s="74">
        <f>F251+G251</f>
        <v>0</v>
      </c>
      <c r="K251" s="74">
        <f t="shared" ref="K251" si="62">SUM(F251:H251)</f>
        <v>1040</v>
      </c>
      <c r="L251" s="21" t="s">
        <v>198</v>
      </c>
      <c r="N251" s="302"/>
      <c r="O251" s="17" t="s">
        <v>225</v>
      </c>
      <c r="P251" s="17"/>
      <c r="Q251" s="18"/>
      <c r="R251" s="17"/>
      <c r="S251" s="42">
        <f>IF(IF(NOT(ISBLANK($G$32)),$G$32,$E$32)&gt;5,S170,0)</f>
        <v>135000</v>
      </c>
      <c r="T251" s="20" t="s">
        <v>109</v>
      </c>
    </row>
    <row r="252" spans="2:20" hidden="1" outlineLevel="1" x14ac:dyDescent="0.2">
      <c r="B252" s="17"/>
      <c r="C252" s="17"/>
      <c r="D252" s="17"/>
      <c r="E252" s="17"/>
      <c r="F252" s="17"/>
      <c r="G252" s="17"/>
      <c r="H252" s="17"/>
      <c r="I252" s="17"/>
      <c r="J252" s="20"/>
      <c r="K252" s="20"/>
      <c r="L252" s="17"/>
      <c r="N252" s="302"/>
      <c r="O252" s="17" t="s">
        <v>226</v>
      </c>
      <c r="P252" s="17"/>
      <c r="Q252" s="17"/>
      <c r="R252" s="17"/>
      <c r="S252" s="42">
        <f>(IF(NOT(ISBLANK($K$27)),$K$27,$I$27)/IF(NOT(ISBLANK($K$32)),$K$32,$I$32)+IF(NOT(ISBLANK($K$27)),$K$27,$I$27)*(IF(NOT(ISBLANK($K$33)),$K$33,$I$33)/100))*E217</f>
        <v>135000</v>
      </c>
      <c r="T252" s="20" t="s">
        <v>109</v>
      </c>
    </row>
    <row r="253" spans="2:20" ht="14.25" hidden="1" outlineLevel="1" x14ac:dyDescent="0.25">
      <c r="B253" s="69"/>
      <c r="C253" s="69" t="s">
        <v>182</v>
      </c>
      <c r="D253" s="70"/>
      <c r="E253" s="70"/>
      <c r="F253" s="71">
        <f>SUM(F254:F256)</f>
        <v>0</v>
      </c>
      <c r="G253" s="71">
        <f t="shared" ref="G253:H253" si="63">SUM(G254:G256)</f>
        <v>0</v>
      </c>
      <c r="H253" s="71">
        <f t="shared" si="63"/>
        <v>424.19999999999993</v>
      </c>
      <c r="I253" s="70"/>
      <c r="J253" s="71">
        <f t="shared" ref="J253" si="64">F253+G253</f>
        <v>0</v>
      </c>
      <c r="K253" s="71">
        <f t="shared" ref="K253" si="65">SUM(F253:H253)</f>
        <v>424.19999999999993</v>
      </c>
      <c r="L253" s="76" t="s">
        <v>198</v>
      </c>
      <c r="N253" s="17"/>
      <c r="O253" s="17"/>
      <c r="P253" s="17"/>
      <c r="Q253" s="18"/>
      <c r="R253" s="17"/>
      <c r="S253" s="18"/>
      <c r="T253" s="18"/>
    </row>
    <row r="254" spans="2:20" ht="15.75" hidden="1" outlineLevel="1" x14ac:dyDescent="0.3">
      <c r="B254" s="17"/>
      <c r="C254" s="17"/>
      <c r="D254" s="17" t="s">
        <v>60</v>
      </c>
      <c r="E254" s="17"/>
      <c r="F254" s="38">
        <f>IF(NOT(ISBLANK('Referenz Pflasterwerk'!$I49)),'Referenz Pflasterwerk'!$I49,'Referenz Pflasterwerk'!$F49)*IF(NOT(ISBLANK('Eingabe EF'!$AS34)),'Eingabe EF'!$AS34,'Eingabe EF'!$AQ34)*IF(NOT(ISBLANK('Referenz Pflasterwerk'!$I$12)),'Referenz Pflasterwerk'!$I$12,'Referenz Pflasterwerk'!$F$12)</f>
        <v>0</v>
      </c>
      <c r="G254" s="38">
        <f>IF(NOT(ISBLANK('Referenz Pflasterwerk'!$I49)),'Referenz Pflasterwerk'!$I49,'Referenz Pflasterwerk'!$F49)*IF(NOT(ISBLANK('Eingabe EF'!$AW34)),'Eingabe EF'!$AW34,'Eingabe EF'!$AU34)*IF(NOT(ISBLANK('Referenz Pflasterwerk'!$I$12)),'Referenz Pflasterwerk'!$I$12,'Referenz Pflasterwerk'!$F$12)</f>
        <v>0</v>
      </c>
      <c r="H254" s="38">
        <f>IF(NOT(ISBLANK('Referenz Pflasterwerk'!$I49)),'Referenz Pflasterwerk'!$I49,'Referenz Pflasterwerk'!$F49)*IF(NOT(ISBLANK('Eingabe EF'!$BA34)),'Eingabe EF'!$BA34,'Eingabe EF'!$AY34)*IF(NOT(ISBLANK('Referenz Pflasterwerk'!$I$12)),'Referenz Pflasterwerk'!$I$12,'Referenz Pflasterwerk'!$F$12)</f>
        <v>356.4</v>
      </c>
      <c r="I254" s="17"/>
      <c r="J254" s="38">
        <f>F254+G254</f>
        <v>0</v>
      </c>
      <c r="K254" s="38">
        <f>SUM(F254:H254)</f>
        <v>356.4</v>
      </c>
      <c r="L254" s="17" t="s">
        <v>199</v>
      </c>
      <c r="N254" s="302"/>
      <c r="O254" s="17" t="s">
        <v>228</v>
      </c>
      <c r="P254" s="17"/>
      <c r="Q254" s="17"/>
      <c r="R254" s="17"/>
      <c r="S254" s="42">
        <f>IF(IF(NOT(ISBLANK($G$32)),$G$32,$E$32)&gt;5,S172,0)</f>
        <v>0</v>
      </c>
      <c r="T254" s="20" t="s">
        <v>109</v>
      </c>
    </row>
    <row r="255" spans="2:20" ht="15.75" hidden="1" outlineLevel="1" x14ac:dyDescent="0.3">
      <c r="B255" s="17"/>
      <c r="C255" s="17"/>
      <c r="D255" s="17" t="s">
        <v>61</v>
      </c>
      <c r="E255" s="17"/>
      <c r="F255" s="38">
        <f>IF(NOT(ISBLANK('Referenz Pflasterwerk'!$I50)),'Referenz Pflasterwerk'!$I50,'Referenz Pflasterwerk'!$F50)*IF(NOT(ISBLANK('Eingabe EF'!$AS35)),'Eingabe EF'!$AS35,'Eingabe EF'!$AQ35)*IF(NOT(ISBLANK('Referenz Pflasterwerk'!$I$12)),'Referenz Pflasterwerk'!$I$12,'Referenz Pflasterwerk'!$F$12)</f>
        <v>0</v>
      </c>
      <c r="G255" s="38">
        <f>IF(NOT(ISBLANK('Referenz Pflasterwerk'!$I50)),'Referenz Pflasterwerk'!$I50,'Referenz Pflasterwerk'!$F50)*IF(NOT(ISBLANK('Eingabe EF'!$AW35)),'Eingabe EF'!$AW35,'Eingabe EF'!$AU35)*IF(NOT(ISBLANK('Referenz Pflasterwerk'!$I$12)),'Referenz Pflasterwerk'!$I$12,'Referenz Pflasterwerk'!$F$12)</f>
        <v>0</v>
      </c>
      <c r="H255" s="38">
        <f>IF(NOT(ISBLANK('Referenz Pflasterwerk'!$I50)),'Referenz Pflasterwerk'!$I50,'Referenz Pflasterwerk'!$F50)*IF(NOT(ISBLANK('Eingabe EF'!$BA35)),'Eingabe EF'!$BA35,'Eingabe EF'!$AY35)*IF(NOT(ISBLANK('Referenz Pflasterwerk'!$I$12)),'Referenz Pflasterwerk'!$I$12,'Referenz Pflasterwerk'!$F$12)</f>
        <v>0</v>
      </c>
      <c r="I255" s="17"/>
      <c r="J255" s="38">
        <f>F255+G255</f>
        <v>0</v>
      </c>
      <c r="K255" s="38">
        <f>SUM(F255:H255)</f>
        <v>0</v>
      </c>
      <c r="L255" s="17" t="s">
        <v>199</v>
      </c>
      <c r="N255" s="302"/>
      <c r="O255" s="17" t="s">
        <v>229</v>
      </c>
      <c r="P255" s="17"/>
      <c r="Q255" s="18"/>
      <c r="R255" s="17"/>
      <c r="S255" s="42">
        <f>IF(NOT(ISBLANK($K$29)),$K$29,$I$29)/IF(NOT(ISBLANK($K$32)),$K$32,$I$32)+IF(NOT(ISBLANK($K$29)),$K$29,$I$29)*(IF(NOT(ISBLANK($K$33)),$K$33,$I$33)/100)</f>
        <v>0</v>
      </c>
      <c r="T255" s="20" t="s">
        <v>109</v>
      </c>
    </row>
    <row r="256" spans="2:20" ht="15.75" hidden="1" outlineLevel="1" x14ac:dyDescent="0.3">
      <c r="B256" s="17"/>
      <c r="C256" s="17"/>
      <c r="D256" s="17" t="s">
        <v>62</v>
      </c>
      <c r="E256" s="17"/>
      <c r="F256" s="38">
        <f>IF(NOT(ISBLANK('Referenz Pflasterwerk'!$I51)),'Referenz Pflasterwerk'!$I51,'Referenz Pflasterwerk'!$F51)*IF(NOT(ISBLANK('Eingabe EF'!$AS36)),'Eingabe EF'!$AS36,'Eingabe EF'!$AQ36)*IF(NOT(ISBLANK('Referenz Pflasterwerk'!$I$12)),'Referenz Pflasterwerk'!$I$12,'Referenz Pflasterwerk'!$F$12)</f>
        <v>0</v>
      </c>
      <c r="G256" s="38">
        <f>IF(NOT(ISBLANK('Referenz Pflasterwerk'!$I51)),'Referenz Pflasterwerk'!$I51,'Referenz Pflasterwerk'!$F51)*IF(NOT(ISBLANK('Eingabe EF'!$AW36)),'Eingabe EF'!$AW36,'Eingabe EF'!$AU36)*IF(NOT(ISBLANK('Referenz Pflasterwerk'!$I$12)),'Referenz Pflasterwerk'!$I$12,'Referenz Pflasterwerk'!$F$12)</f>
        <v>0</v>
      </c>
      <c r="H256" s="38">
        <f>IF(NOT(ISBLANK('Referenz Pflasterwerk'!$I51)),'Referenz Pflasterwerk'!$I51,'Referenz Pflasterwerk'!$F51)*IF(NOT(ISBLANK('Eingabe EF'!$BA36)),'Eingabe EF'!$BA36,'Eingabe EF'!$AY36)*IF(NOT(ISBLANK('Referenz Pflasterwerk'!$I$12)),'Referenz Pflasterwerk'!$I$12,'Referenz Pflasterwerk'!$F$12)</f>
        <v>67.799999999999983</v>
      </c>
      <c r="I256" s="17"/>
      <c r="J256" s="38">
        <f>F256+G256</f>
        <v>0</v>
      </c>
      <c r="K256" s="38">
        <f>SUM(F256:H256)</f>
        <v>67.799999999999983</v>
      </c>
      <c r="L256" s="17" t="s">
        <v>199</v>
      </c>
      <c r="N256" s="17"/>
      <c r="O256" s="17"/>
      <c r="P256" s="17"/>
      <c r="Q256" s="18"/>
      <c r="R256" s="17"/>
      <c r="S256" s="18"/>
      <c r="T256" s="18"/>
    </row>
    <row r="257" spans="2:20" hidden="1" outlineLevel="1" x14ac:dyDescent="0.2">
      <c r="B257" s="17"/>
      <c r="C257" s="17"/>
      <c r="D257" s="17"/>
      <c r="E257" s="17"/>
      <c r="F257" s="17"/>
      <c r="G257" s="17"/>
      <c r="H257" s="17"/>
      <c r="I257" s="17"/>
      <c r="J257" s="17"/>
      <c r="K257" s="20"/>
      <c r="L257" s="20"/>
      <c r="N257" s="17"/>
      <c r="O257" s="17"/>
      <c r="P257" s="17"/>
      <c r="Q257" s="17"/>
      <c r="R257" s="17"/>
      <c r="S257" s="17"/>
      <c r="T257" s="17"/>
    </row>
    <row r="258" spans="2:20" ht="14.25" hidden="1" outlineLevel="1" x14ac:dyDescent="0.25">
      <c r="B258" s="69"/>
      <c r="C258" s="69" t="s">
        <v>52</v>
      </c>
      <c r="D258" s="70"/>
      <c r="E258" s="70"/>
      <c r="F258" s="71">
        <f>SUM(F259:F262)</f>
        <v>0</v>
      </c>
      <c r="G258" s="71">
        <f t="shared" ref="G258:H258" si="66">SUM(G259:G262)</f>
        <v>0</v>
      </c>
      <c r="H258" s="71">
        <f t="shared" si="66"/>
        <v>185.55932668689491</v>
      </c>
      <c r="I258" s="70"/>
      <c r="J258" s="71">
        <f t="shared" ref="J258:J262" si="67">F258+G258</f>
        <v>0</v>
      </c>
      <c r="K258" s="71">
        <f t="shared" ref="K258" si="68">SUM(F258:H258)</f>
        <v>185.55932668689491</v>
      </c>
      <c r="L258" s="76" t="s">
        <v>198</v>
      </c>
      <c r="N258" s="17"/>
      <c r="O258" s="17"/>
      <c r="P258" s="17"/>
      <c r="Q258" s="18"/>
      <c r="R258" s="17"/>
      <c r="S258" s="18"/>
      <c r="T258" s="18"/>
    </row>
    <row r="259" spans="2:20" ht="15.75" hidden="1" outlineLevel="1" x14ac:dyDescent="0.3">
      <c r="B259" s="17"/>
      <c r="C259" s="17"/>
      <c r="D259" s="17" t="s">
        <v>53</v>
      </c>
      <c r="E259" s="17"/>
      <c r="F259" s="38">
        <f>IF(NOT(ISBLANK('Referenz Pflasterwerk'!$I$53)),'Referenz Pflasterwerk'!$I$53,'Referenz Pflasterwerk'!$F$53)*IF(NOT(ISBLANK('Referenz Pflasterwerk'!$I54)),'Referenz Pflasterwerk'!$I54,'Referenz Pflasterwerk'!$F54)*IF(NOT(ISBLANK('Eingabe EF'!$AS39)),'Eingabe EF'!$AS39,'Eingabe EF'!$AQ39)*IF(NOT(ISBLANK('Referenz Pflasterwerk'!$I$12)),'Referenz Pflasterwerk'!$I$12,'Referenz Pflasterwerk'!$F$12)</f>
        <v>0</v>
      </c>
      <c r="G259" s="38">
        <f>IF(NOT(ISBLANK('Referenz Pflasterwerk'!$I$53)),'Referenz Pflasterwerk'!$I$53,'Referenz Pflasterwerk'!$F$53)*IF(NOT(ISBLANK('Referenz Pflasterwerk'!$I54)),'Referenz Pflasterwerk'!$I54,'Referenz Pflasterwerk'!$F54)*IF(NOT(ISBLANK('Eingabe EF'!$AW39)),'Eingabe EF'!$AW39,'Eingabe EF'!$AU39)*IF(NOT(ISBLANK('Referenz Pflasterwerk'!$I$12)),'Referenz Pflasterwerk'!$I$12,'Referenz Pflasterwerk'!$F$12)</f>
        <v>0</v>
      </c>
      <c r="H259" s="38">
        <f>IF(NOT(ISBLANK('Referenz Pflasterwerk'!$I$53)),'Referenz Pflasterwerk'!$I$53,'Referenz Pflasterwerk'!$F$53)*IF(NOT(ISBLANK('Referenz Pflasterwerk'!$I54)),'Referenz Pflasterwerk'!$I54,'Referenz Pflasterwerk'!$F54)*IF(NOT(ISBLANK('Eingabe EF'!$BA39)),'Eingabe EF'!$BA39,'Eingabe EF'!$AY39)*IF(NOT(ISBLANK('Referenz Pflasterwerk'!$I$12)),'Referenz Pflasterwerk'!$I$12,'Referenz Pflasterwerk'!$F$12)</f>
        <v>59.997399219765924</v>
      </c>
      <c r="I259" s="17"/>
      <c r="J259" s="38">
        <f t="shared" si="67"/>
        <v>0</v>
      </c>
      <c r="K259" s="38">
        <f t="shared" ref="K259:K262" si="69">SUM(F259:H259)</f>
        <v>59.997399219765924</v>
      </c>
      <c r="L259" s="17" t="s">
        <v>199</v>
      </c>
    </row>
    <row r="260" spans="2:20" ht="15.75" hidden="1" outlineLevel="1" x14ac:dyDescent="0.3">
      <c r="B260" s="17"/>
      <c r="C260" s="17"/>
      <c r="D260" s="17" t="s">
        <v>55</v>
      </c>
      <c r="E260" s="17"/>
      <c r="F260" s="38">
        <f>IF(NOT(ISBLANK('Referenz Pflasterwerk'!$I$53)),'Referenz Pflasterwerk'!$I$53,'Referenz Pflasterwerk'!$F$53)*IF(NOT(ISBLANK('Referenz Pflasterwerk'!$I55)),'Referenz Pflasterwerk'!$I55,'Referenz Pflasterwerk'!$F55)*IF(NOT(ISBLANK('Eingabe EF'!$AS40)),'Eingabe EF'!$AS40,'Eingabe EF'!$AQ40)*IF(NOT(ISBLANK('Referenz Pflasterwerk'!$I$12)),'Referenz Pflasterwerk'!$I$12,'Referenz Pflasterwerk'!$F$12)</f>
        <v>0</v>
      </c>
      <c r="G260" s="38">
        <f>IF(NOT(ISBLANK('Referenz Pflasterwerk'!$I$53)),'Referenz Pflasterwerk'!$I$53,'Referenz Pflasterwerk'!$F$53)*IF(NOT(ISBLANK('Referenz Pflasterwerk'!$I55)),'Referenz Pflasterwerk'!$I55,'Referenz Pflasterwerk'!$F55)*IF(NOT(ISBLANK('Eingabe EF'!$AW40)),'Eingabe EF'!$AW40,'Eingabe EF'!$AU40)*IF(NOT(ISBLANK('Referenz Pflasterwerk'!$I$12)),'Referenz Pflasterwerk'!$I$12,'Referenz Pflasterwerk'!$F$12)</f>
        <v>0</v>
      </c>
      <c r="H260" s="38">
        <f>IF(NOT(ISBLANK('Referenz Pflasterwerk'!$I$53)),'Referenz Pflasterwerk'!$I$53,'Referenz Pflasterwerk'!$F$53)*IF(NOT(ISBLANK('Referenz Pflasterwerk'!$I55)),'Referenz Pflasterwerk'!$I55,'Referenz Pflasterwerk'!$F55)*IF(NOT(ISBLANK('Eingabe EF'!$BA40)),'Eingabe EF'!$BA40,'Eingabe EF'!$AY40)*IF(NOT(ISBLANK('Referenz Pflasterwerk'!$I$12)),'Referenz Pflasterwerk'!$I$12,'Referenz Pflasterwerk'!$F$12)</f>
        <v>7.224692963444574</v>
      </c>
      <c r="I260" s="17"/>
      <c r="J260" s="38">
        <f t="shared" si="67"/>
        <v>0</v>
      </c>
      <c r="K260" s="38">
        <f t="shared" si="69"/>
        <v>7.224692963444574</v>
      </c>
      <c r="L260" s="17" t="s">
        <v>199</v>
      </c>
    </row>
    <row r="261" spans="2:20" ht="15.75" hidden="1" outlineLevel="1" x14ac:dyDescent="0.3">
      <c r="B261" s="17"/>
      <c r="C261" s="17"/>
      <c r="D261" s="17" t="s">
        <v>56</v>
      </c>
      <c r="E261" s="17"/>
      <c r="F261" s="38">
        <f>IF(NOT(ISBLANK('Referenz Pflasterwerk'!$I$53)),'Referenz Pflasterwerk'!$I$53,'Referenz Pflasterwerk'!$F$53)*IF(NOT(ISBLANK('Referenz Pflasterwerk'!$I56)),'Referenz Pflasterwerk'!$I56,'Referenz Pflasterwerk'!$F56)*IF(NOT(ISBLANK('Eingabe EF'!$AS41)),'Eingabe EF'!$AS41,'Eingabe EF'!$AQ41)*IF(NOT(ISBLANK('Referenz Pflasterwerk'!$I$12)),'Referenz Pflasterwerk'!$I$12,'Referenz Pflasterwerk'!$F$12)</f>
        <v>0</v>
      </c>
      <c r="G261" s="38">
        <f>IF(NOT(ISBLANK('Referenz Pflasterwerk'!$I$53)),'Referenz Pflasterwerk'!$I$53,'Referenz Pflasterwerk'!$F$53)*IF(NOT(ISBLANK('Referenz Pflasterwerk'!$I56)),'Referenz Pflasterwerk'!$I56,'Referenz Pflasterwerk'!$F56)*IF(NOT(ISBLANK('Eingabe EF'!$AW41)),'Eingabe EF'!$AW41,'Eingabe EF'!$AU41)*IF(NOT(ISBLANK('Referenz Pflasterwerk'!$I$12)),'Referenz Pflasterwerk'!$I$12,'Referenz Pflasterwerk'!$F$12)</f>
        <v>0</v>
      </c>
      <c r="H261" s="38">
        <f>IF(NOT(ISBLANK('Referenz Pflasterwerk'!$I$53)),'Referenz Pflasterwerk'!$I$53,'Referenz Pflasterwerk'!$F$53)*IF(NOT(ISBLANK('Referenz Pflasterwerk'!$I56)),'Referenz Pflasterwerk'!$I56,'Referenz Pflasterwerk'!$F56)*IF(NOT(ISBLANK('Eingabe EF'!$BA41)),'Eingabe EF'!$BA41,'Eingabe EF'!$AY41)*IF(NOT(ISBLANK('Referenz Pflasterwerk'!$I$12)),'Referenz Pflasterwerk'!$I$12,'Referenz Pflasterwerk'!$F$12)</f>
        <v>1.7771998266146515E-2</v>
      </c>
      <c r="I261" s="17"/>
      <c r="J261" s="38">
        <f t="shared" si="67"/>
        <v>0</v>
      </c>
      <c r="K261" s="38">
        <f t="shared" si="69"/>
        <v>1.7771998266146515E-2</v>
      </c>
      <c r="L261" s="17" t="s">
        <v>199</v>
      </c>
    </row>
    <row r="262" spans="2:20" ht="15.75" hidden="1" outlineLevel="1" x14ac:dyDescent="0.3">
      <c r="B262" s="17"/>
      <c r="C262" s="17"/>
      <c r="D262" s="17" t="s">
        <v>57</v>
      </c>
      <c r="E262" s="17"/>
      <c r="F262" s="38">
        <f>IF(NOT(ISBLANK('Referenz Pflasterwerk'!$I$53)),'Referenz Pflasterwerk'!$I$53,'Referenz Pflasterwerk'!$F$53)*IF(NOT(ISBLANK('Referenz Pflasterwerk'!$I57)),'Referenz Pflasterwerk'!$I57,'Referenz Pflasterwerk'!$F57)*IF(NOT(ISBLANK('Eingabe EF'!$AS42)),'Eingabe EF'!$AS42,'Eingabe EF'!$AQ42)*IF(NOT(ISBLANK('Referenz Pflasterwerk'!$I$12)),'Referenz Pflasterwerk'!$I$12,'Referenz Pflasterwerk'!$F$12)</f>
        <v>0</v>
      </c>
      <c r="G262" s="38">
        <f>IF(NOT(ISBLANK('Referenz Pflasterwerk'!$I$53)),'Referenz Pflasterwerk'!$I$53,'Referenz Pflasterwerk'!$F$53)*IF(NOT(ISBLANK('Referenz Pflasterwerk'!$I57)),'Referenz Pflasterwerk'!$I57,'Referenz Pflasterwerk'!$F57)*IF(NOT(ISBLANK('Eingabe EF'!$AW42)),'Eingabe EF'!$AW42,'Eingabe EF'!$AU42)*IF(NOT(ISBLANK('Referenz Pflasterwerk'!$I$12)),'Referenz Pflasterwerk'!$I$12,'Referenz Pflasterwerk'!$F$12)</f>
        <v>0</v>
      </c>
      <c r="H262" s="38">
        <f>IF(NOT(ISBLANK('Referenz Pflasterwerk'!$I$53)),'Referenz Pflasterwerk'!$I$53,'Referenz Pflasterwerk'!$F$53)*IF(NOT(ISBLANK('Referenz Pflasterwerk'!$I57)),'Referenz Pflasterwerk'!$I57,'Referenz Pflasterwerk'!$F57)*IF(NOT(ISBLANK('Eingabe EF'!$BA42)),'Eingabe EF'!$BA42,'Eingabe EF'!$AY42)*IF(NOT(ISBLANK('Referenz Pflasterwerk'!$I$12)),'Referenz Pflasterwerk'!$I$12,'Referenz Pflasterwerk'!$F$12)</f>
        <v>118.31946250541829</v>
      </c>
      <c r="I262" s="17"/>
      <c r="J262" s="38">
        <f t="shared" si="67"/>
        <v>0</v>
      </c>
      <c r="K262" s="38">
        <f t="shared" si="69"/>
        <v>118.31946250541829</v>
      </c>
      <c r="L262" s="17" t="s">
        <v>199</v>
      </c>
    </row>
    <row r="263" spans="2:20" hidden="1" outlineLevel="1" x14ac:dyDescent="0.2">
      <c r="B263" s="17"/>
      <c r="C263" s="17"/>
      <c r="D263" s="17"/>
      <c r="E263" s="17"/>
      <c r="F263" s="17"/>
      <c r="G263" s="17"/>
      <c r="H263" s="17"/>
      <c r="I263" s="17"/>
      <c r="J263" s="17"/>
      <c r="K263" s="17"/>
      <c r="L263" s="20"/>
    </row>
    <row r="264" spans="2:20" ht="14.25" hidden="1" outlineLevel="1" x14ac:dyDescent="0.25">
      <c r="B264" s="17"/>
      <c r="C264" s="17"/>
      <c r="D264" s="21" t="s">
        <v>113</v>
      </c>
      <c r="E264" s="21"/>
      <c r="F264" s="74">
        <f>IF(NOT(ISBLANK('Referenz Pflasterwerk'!$I59)),'Referenz Pflasterwerk'!$I59,'Referenz Pflasterwerk'!$F59)*IF(NOT(ISBLANK('Eingabe EF'!$AS44)),'Eingabe EF'!$AS44,0)*IF(NOT(ISBLANK('Referenz Pflasterwerk'!$I$12)),'Referenz Pflasterwerk'!$I$12,'Referenz Pflasterwerk'!$F$12)</f>
        <v>0</v>
      </c>
      <c r="G264" s="74">
        <f>IF(NOT(ISBLANK('Referenz Pflasterwerk'!$I59)),'Referenz Pflasterwerk'!$I59,'Referenz Pflasterwerk'!$F59)*IF(NOT(ISBLANK('Eingabe EF'!$AW44)),'Eingabe EF'!$AW44,0)*IF(NOT(ISBLANK('Referenz Pflasterwerk'!$I$12)),'Referenz Pflasterwerk'!$I$12,'Referenz Pflasterwerk'!$F$12)</f>
        <v>0</v>
      </c>
      <c r="H264" s="74">
        <f>IF(NOT(ISBLANK('Referenz Pflasterwerk'!$I59)),'Referenz Pflasterwerk'!$I59,'Referenz Pflasterwerk'!$F59)*IF(NOT(ISBLANK('Eingabe EF'!$BA44)),'Eingabe EF'!$BA44,0)*IF(NOT(ISBLANK('Referenz Pflasterwerk'!$I$12)),'Referenz Pflasterwerk'!$I$12,'Referenz Pflasterwerk'!$F$12)</f>
        <v>0</v>
      </c>
      <c r="I264" s="21"/>
      <c r="J264" s="74">
        <f>F264+G264</f>
        <v>0</v>
      </c>
      <c r="K264" s="74">
        <f>SUM(F264:H264)</f>
        <v>0</v>
      </c>
      <c r="L264" s="21" t="s">
        <v>198</v>
      </c>
    </row>
    <row r="265" spans="2:20" ht="14.25" hidden="1" outlineLevel="1" x14ac:dyDescent="0.25">
      <c r="B265" s="17"/>
      <c r="C265" s="17"/>
      <c r="D265" s="21" t="s">
        <v>65</v>
      </c>
      <c r="E265" s="21"/>
      <c r="F265" s="75">
        <f>IF(NOT(ISBLANK('Referenz Pflasterwerk'!$I60)),'Referenz Pflasterwerk'!$I60,'Referenz Pflasterwerk'!$F60)*IF(NOT(ISBLANK('Eingabe EF'!$AS45)),'Eingabe EF'!$AS45,'Eingabe EF'!$AQ45)</f>
        <v>0</v>
      </c>
      <c r="G265" s="75">
        <f>IF(NOT(ISBLANK('Referenz Pflasterwerk'!$I60)),'Referenz Pflasterwerk'!$I60,'Referenz Pflasterwerk'!$F60)*IF(NOT(ISBLANK('Eingabe EF'!$AW45)),'Eingabe EF'!$AW45,'Eingabe EF'!$AU45)</f>
        <v>0</v>
      </c>
      <c r="H265" s="75">
        <f>IF(NOT(ISBLANK('Referenz Pflasterwerk'!$I60)),'Referenz Pflasterwerk'!$I60,'Referenz Pflasterwerk'!$F60)*IF(NOT(ISBLANK('Eingabe EF'!$BA45)),'Eingabe EF'!$BA45,'Eingabe EF'!$AY45)</f>
        <v>5.4399999999999997E-2</v>
      </c>
      <c r="I265" s="21"/>
      <c r="J265" s="74">
        <f>F265+G265</f>
        <v>0</v>
      </c>
      <c r="K265" s="74">
        <f>SUM(F265:H265)</f>
        <v>5.4399999999999997E-2</v>
      </c>
      <c r="L265" s="21" t="s">
        <v>198</v>
      </c>
    </row>
    <row r="266" spans="2:20" hidden="1" outlineLevel="1" x14ac:dyDescent="0.2">
      <c r="B266" s="17"/>
      <c r="C266" s="17"/>
      <c r="D266" s="17"/>
      <c r="E266" s="17"/>
      <c r="F266" s="17"/>
      <c r="G266" s="17"/>
      <c r="H266" s="17"/>
      <c r="I266" s="17"/>
      <c r="J266" s="17"/>
      <c r="K266" s="17"/>
      <c r="L266" s="20"/>
    </row>
    <row r="267" spans="2:20" ht="14.25" hidden="1" outlineLevel="1" x14ac:dyDescent="0.25">
      <c r="B267" s="69"/>
      <c r="C267" s="69" t="s">
        <v>183</v>
      </c>
      <c r="D267" s="70"/>
      <c r="E267" s="70"/>
      <c r="F267" s="71">
        <f>SUM(F268:F270)</f>
        <v>0</v>
      </c>
      <c r="G267" s="71">
        <f t="shared" ref="G267:H267" si="70">SUM(G268:G270)</f>
        <v>0</v>
      </c>
      <c r="H267" s="71">
        <f t="shared" si="70"/>
        <v>0</v>
      </c>
      <c r="I267" s="70"/>
      <c r="J267" s="71">
        <f t="shared" ref="J267" si="71">F267+G267</f>
        <v>0</v>
      </c>
      <c r="K267" s="71">
        <f t="shared" ref="K267" si="72">SUM(F267:H267)</f>
        <v>0</v>
      </c>
      <c r="L267" s="76" t="s">
        <v>198</v>
      </c>
    </row>
    <row r="268" spans="2:20" ht="15.75" hidden="1" outlineLevel="1" x14ac:dyDescent="0.3">
      <c r="B268" s="17"/>
      <c r="C268" s="17"/>
      <c r="D268" s="17" t="s">
        <v>184</v>
      </c>
      <c r="E268" s="17"/>
      <c r="F268" s="38">
        <f>IF(NOT(ISBLANK('Referenz Pflasterwerk'!$I63)),'Referenz Pflasterwerk'!$I63,'Referenz Pflasterwerk'!$F63)*IF(NOT(ISBLANK('Eingabe EF'!$AS48)),'Eingabe EF'!$AS48,0)*IF(NOT(ISBLANK('Referenz Pflasterwerk'!$I$12)),'Referenz Pflasterwerk'!$I$12,'Referenz Pflasterwerk'!$F$12)</f>
        <v>0</v>
      </c>
      <c r="G268" s="38">
        <f>IF(NOT(ISBLANK('Referenz Pflasterwerk'!$I63)),'Referenz Pflasterwerk'!$I63,'Referenz Pflasterwerk'!$F63)*IF(NOT(ISBLANK('Eingabe EF'!$AW48)),'Eingabe EF'!$AW48,0)*IF(NOT(ISBLANK('Referenz Pflasterwerk'!$I$12)),'Referenz Pflasterwerk'!$I$12,'Referenz Pflasterwerk'!$F$12)</f>
        <v>0</v>
      </c>
      <c r="H268" s="38">
        <f>IF(NOT(ISBLANK('Referenz Pflasterwerk'!$I63)),'Referenz Pflasterwerk'!$I63,'Referenz Pflasterwerk'!$F63)*IF(NOT(ISBLANK('Eingabe EF'!$BA48)),'Eingabe EF'!$BA48,0)*IF(NOT(ISBLANK('Referenz Pflasterwerk'!$I$12)),'Referenz Pflasterwerk'!$I$12,'Referenz Pflasterwerk'!$F$12)</f>
        <v>0</v>
      </c>
      <c r="I268" s="17"/>
      <c r="J268" s="38">
        <f>F268+G268</f>
        <v>0</v>
      </c>
      <c r="K268" s="38">
        <f>SUM(F268:H268)</f>
        <v>0</v>
      </c>
      <c r="L268" s="17" t="s">
        <v>199</v>
      </c>
    </row>
    <row r="269" spans="2:20" ht="15.75" hidden="1" outlineLevel="1" x14ac:dyDescent="0.3">
      <c r="B269" s="17"/>
      <c r="C269" s="17"/>
      <c r="D269" s="17" t="s">
        <v>63</v>
      </c>
      <c r="E269" s="17"/>
      <c r="F269" s="38">
        <f>IF(NOT(ISBLANK('Referenz Pflasterwerk'!$I64)),'Referenz Pflasterwerk'!$I64,'Referenz Pflasterwerk'!$F64)*IF(NOT(ISBLANK('Eingabe EF'!$AS49)),'Eingabe EF'!$AS49,'Eingabe EF'!$AQ49)*IF(NOT(ISBLANK('Referenz Pflasterwerk'!$I$12)),'Referenz Pflasterwerk'!$I$12,'Referenz Pflasterwerk'!$F$12)</f>
        <v>0</v>
      </c>
      <c r="G269" s="38">
        <f>IF(NOT(ISBLANK('Referenz Pflasterwerk'!$I64)),'Referenz Pflasterwerk'!$I64,'Referenz Pflasterwerk'!$F64)*IF(NOT(ISBLANK('Eingabe EF'!$AW49)),'Eingabe EF'!$AW49,'Eingabe EF'!$AU49)*IF(NOT(ISBLANK('Referenz Pflasterwerk'!$I$12)),'Referenz Pflasterwerk'!$I$12,'Referenz Pflasterwerk'!$F$12)</f>
        <v>0</v>
      </c>
      <c r="H269" s="38">
        <f>IF(NOT(ISBLANK('Referenz Pflasterwerk'!$I64)),'Referenz Pflasterwerk'!$I64,'Referenz Pflasterwerk'!$F64)*IF(NOT(ISBLANK('Eingabe EF'!$BA49)),'Eingabe EF'!$BA49,'Eingabe EF'!$AY49)*IF(NOT(ISBLANK('Referenz Pflasterwerk'!$I$12)),'Referenz Pflasterwerk'!$I$12,'Referenz Pflasterwerk'!$F$12)</f>
        <v>0</v>
      </c>
      <c r="I269" s="17"/>
      <c r="J269" s="38">
        <f t="shared" ref="J269" si="73">F269+G269</f>
        <v>0</v>
      </c>
      <c r="K269" s="38">
        <f t="shared" ref="K269" si="74">SUM(F269:H269)</f>
        <v>0</v>
      </c>
      <c r="L269" s="17" t="s">
        <v>199</v>
      </c>
    </row>
    <row r="270" spans="2:20" ht="15.75" hidden="1" outlineLevel="1" x14ac:dyDescent="0.3">
      <c r="B270" s="17"/>
      <c r="C270" s="17"/>
      <c r="D270" s="17" t="s">
        <v>185</v>
      </c>
      <c r="E270" s="17"/>
      <c r="F270" s="38">
        <f>IF(NOT(ISBLANK('Referenz Pflasterwerk'!$I65)),'Referenz Pflasterwerk'!$I65,'Referenz Pflasterwerk'!$F65)*IF(NOT(ISBLANK('Eingabe EF'!$AS50)),'Eingabe EF'!$AS50,0)*IF(NOT(ISBLANK('Referenz Pflasterwerk'!$I$12)),'Referenz Pflasterwerk'!$I$12,'Referenz Pflasterwerk'!$F$12)</f>
        <v>0</v>
      </c>
      <c r="G270" s="38">
        <f>IF(NOT(ISBLANK('Referenz Pflasterwerk'!$I65)),'Referenz Pflasterwerk'!$I65,'Referenz Pflasterwerk'!$F65)*IF(NOT(ISBLANK('Eingabe EF'!$AW50)),'Eingabe EF'!$AW50,0)*IF(NOT(ISBLANK('Referenz Pflasterwerk'!$I$12)),'Referenz Pflasterwerk'!$I$12,'Referenz Pflasterwerk'!$F$12)</f>
        <v>0</v>
      </c>
      <c r="H270" s="38">
        <f>IF(NOT(ISBLANK('Referenz Pflasterwerk'!$I65)),'Referenz Pflasterwerk'!$I65,'Referenz Pflasterwerk'!$F65)*IF(NOT(ISBLANK('Eingabe EF'!$BA50)),'Eingabe EF'!$BA50,0)*IF(NOT(ISBLANK('Referenz Pflasterwerk'!$I$12)),'Referenz Pflasterwerk'!$I$12,'Referenz Pflasterwerk'!$F$12)</f>
        <v>0</v>
      </c>
      <c r="I270" s="17"/>
      <c r="J270" s="38">
        <f>F270+G270</f>
        <v>0</v>
      </c>
      <c r="K270" s="38">
        <f>SUM(F270:H270)</f>
        <v>0</v>
      </c>
      <c r="L270" s="17" t="s">
        <v>199</v>
      </c>
    </row>
    <row r="271" spans="2:20" hidden="1" outlineLevel="1" x14ac:dyDescent="0.2">
      <c r="B271" s="17"/>
      <c r="C271" s="17"/>
      <c r="D271" s="17"/>
      <c r="E271" s="17"/>
      <c r="F271" s="17"/>
      <c r="G271" s="17"/>
      <c r="H271" s="17"/>
      <c r="I271" s="17"/>
      <c r="J271" s="17"/>
      <c r="K271" s="17"/>
      <c r="L271" s="20"/>
    </row>
    <row r="272" spans="2:20" ht="14.25" hidden="1" outlineLevel="1" x14ac:dyDescent="0.25">
      <c r="B272" s="69"/>
      <c r="C272" s="69" t="s">
        <v>186</v>
      </c>
      <c r="D272" s="70"/>
      <c r="E272" s="70"/>
      <c r="F272" s="71">
        <f>SUM(F273:F275)</f>
        <v>0</v>
      </c>
      <c r="G272" s="71">
        <f t="shared" ref="G272:H272" si="75">SUM(G273:G275)</f>
        <v>0</v>
      </c>
      <c r="H272" s="71">
        <f t="shared" si="75"/>
        <v>0</v>
      </c>
      <c r="I272" s="70"/>
      <c r="J272" s="71">
        <f t="shared" ref="J272" si="76">F272+G272</f>
        <v>0</v>
      </c>
      <c r="K272" s="71">
        <f t="shared" ref="K272" si="77">SUM(F272:H272)</f>
        <v>0</v>
      </c>
      <c r="L272" s="76" t="s">
        <v>198</v>
      </c>
    </row>
    <row r="273" spans="2:12" ht="15.75" hidden="1" outlineLevel="1" x14ac:dyDescent="0.3">
      <c r="B273" s="17"/>
      <c r="C273" s="17"/>
      <c r="D273" s="17" t="s">
        <v>67</v>
      </c>
      <c r="E273" s="17"/>
      <c r="F273" s="44">
        <f>IF(NOT(ISBLANK('Referenz Pflasterwerk'!$I68)),'Referenz Pflasterwerk'!$I68,'Referenz Pflasterwerk'!$F68)*IF(NOT(ISBLANK('Eingabe EF'!$AS53)),'Eingabe EF'!$AS53,'Eingabe EF'!$AQ53)</f>
        <v>0</v>
      </c>
      <c r="G273" s="44">
        <f>IF(NOT(ISBLANK('Referenz Pflasterwerk'!$I68)),'Referenz Pflasterwerk'!$I68,'Referenz Pflasterwerk'!$F68)*IF(NOT(ISBLANK('Eingabe EF'!$AW53)),'Eingabe EF'!$AW53,'Eingabe EF'!$AU53)</f>
        <v>0</v>
      </c>
      <c r="H273" s="44">
        <f>IF(NOT(ISBLANK('Referenz Pflasterwerk'!$I68)),'Referenz Pflasterwerk'!$I68,'Referenz Pflasterwerk'!$F68)*IF(NOT(ISBLANK('Eingabe EF'!$BA53)),'Eingabe EF'!$BA53,'Eingabe EF'!$AY53)</f>
        <v>0</v>
      </c>
      <c r="I273" s="17"/>
      <c r="J273" s="38">
        <f>F273+G273</f>
        <v>0</v>
      </c>
      <c r="K273" s="38">
        <f>SUM(F273:H273)</f>
        <v>0</v>
      </c>
      <c r="L273" s="17" t="s">
        <v>199</v>
      </c>
    </row>
    <row r="274" spans="2:12" ht="15.75" hidden="1" outlineLevel="1" x14ac:dyDescent="0.3">
      <c r="B274" s="17"/>
      <c r="C274" s="17"/>
      <c r="D274" s="17" t="s">
        <v>188</v>
      </c>
      <c r="E274" s="17"/>
      <c r="F274" s="44">
        <f>IF(NOT(ISBLANK('Referenz Pflasterwerk'!$I69)),'Referenz Pflasterwerk'!$I69,'Referenz Pflasterwerk'!$F69)*IF(NOT(ISBLANK('Eingabe EF'!$AS54)),'Eingabe EF'!$AS54,0)</f>
        <v>0</v>
      </c>
      <c r="G274" s="44">
        <f>IF(NOT(ISBLANK('Referenz Pflasterwerk'!$I69)),'Referenz Pflasterwerk'!$I69,'Referenz Pflasterwerk'!$F69)*IF(NOT(ISBLANK('Eingabe EF'!$AW54)),'Eingabe EF'!$AW54,0)</f>
        <v>0</v>
      </c>
      <c r="H274" s="44">
        <f>IF(NOT(ISBLANK('Referenz Pflasterwerk'!$I69)),'Referenz Pflasterwerk'!$I69,'Referenz Pflasterwerk'!$F69)*IF(NOT(ISBLANK('Eingabe EF'!$BA54)),'Eingabe EF'!$BA54,0)</f>
        <v>0</v>
      </c>
      <c r="I274" s="17"/>
      <c r="J274" s="38">
        <f t="shared" ref="J274:J275" si="78">F274+G274</f>
        <v>0</v>
      </c>
      <c r="K274" s="38">
        <f t="shared" ref="K274:K275" si="79">SUM(F274:H274)</f>
        <v>0</v>
      </c>
      <c r="L274" s="17" t="s">
        <v>199</v>
      </c>
    </row>
    <row r="275" spans="2:12" ht="15.75" hidden="1" outlineLevel="1" x14ac:dyDescent="0.3">
      <c r="B275" s="17"/>
      <c r="C275" s="17"/>
      <c r="D275" s="17" t="s">
        <v>187</v>
      </c>
      <c r="E275" s="17"/>
      <c r="F275" s="44">
        <f>IF(NOT(ISBLANK('Referenz Pflasterwerk'!$I70)),'Referenz Pflasterwerk'!$I70,'Referenz Pflasterwerk'!$F70)*IF(NOT(ISBLANK('Eingabe EF'!$AS55)),'Eingabe EF'!$AS55,0)</f>
        <v>0</v>
      </c>
      <c r="G275" s="44">
        <f>IF(NOT(ISBLANK('Referenz Pflasterwerk'!$I70)),'Referenz Pflasterwerk'!$I70,'Referenz Pflasterwerk'!$F70)*IF(NOT(ISBLANK('Eingabe EF'!$AW55)),'Eingabe EF'!$AW55,0)</f>
        <v>0</v>
      </c>
      <c r="H275" s="44">
        <f>IF(NOT(ISBLANK('Referenz Pflasterwerk'!$I70)),'Referenz Pflasterwerk'!$I70,'Referenz Pflasterwerk'!$F70)*IF(NOT(ISBLANK('Eingabe EF'!$BA55)),'Eingabe EF'!$BA55,0)</f>
        <v>0</v>
      </c>
      <c r="I275" s="17"/>
      <c r="J275" s="38">
        <f t="shared" si="78"/>
        <v>0</v>
      </c>
      <c r="K275" s="38">
        <f t="shared" si="79"/>
        <v>0</v>
      </c>
      <c r="L275" s="17" t="s">
        <v>199</v>
      </c>
    </row>
    <row r="276" spans="2:12" hidden="1" outlineLevel="1" x14ac:dyDescent="0.2">
      <c r="B276" s="17"/>
      <c r="C276" s="17"/>
      <c r="D276" s="17"/>
      <c r="E276" s="17"/>
      <c r="F276" s="17"/>
      <c r="G276" s="17"/>
      <c r="H276" s="17"/>
      <c r="I276" s="17"/>
      <c r="J276" s="17"/>
      <c r="K276" s="17"/>
      <c r="L276" s="20"/>
    </row>
    <row r="277" spans="2:12" ht="14.25" hidden="1" outlineLevel="1" x14ac:dyDescent="0.25">
      <c r="B277" s="17"/>
      <c r="C277" s="17"/>
      <c r="D277" s="21" t="s">
        <v>64</v>
      </c>
      <c r="E277" s="21"/>
      <c r="F277" s="75">
        <f>IF(NOT(ISBLANK('Referenz Pflasterwerk'!$I72)),'Referenz Pflasterwerk'!$I72,'Referenz Pflasterwerk'!$F72)*IF(NOT(ISBLANK('Eingabe EF'!$AS57)),'Eingabe EF'!$AS57,'Eingabe EF'!$AQ57)</f>
        <v>0</v>
      </c>
      <c r="G277" s="75">
        <f>IF(NOT(ISBLANK('Referenz Pflasterwerk'!$I72)),'Referenz Pflasterwerk'!$I72,'Referenz Pflasterwerk'!$F72)*IF(NOT(ISBLANK('Eingabe EF'!$AW57)),'Eingabe EF'!$AW57,'Eingabe EF'!$AU57)</f>
        <v>0</v>
      </c>
      <c r="H277" s="75">
        <f>IF(NOT(ISBLANK('Referenz Pflasterwerk'!$I72)),'Referenz Pflasterwerk'!$I72,'Referenz Pflasterwerk'!$F72)*IF(NOT(ISBLANK('Eingabe EF'!$BA57)),'Eingabe EF'!$BA57,'Eingabe EF'!$AY57)</f>
        <v>161.20000000000002</v>
      </c>
      <c r="I277" s="21"/>
      <c r="J277" s="74">
        <f t="shared" ref="J277" si="80">F277+G277</f>
        <v>0</v>
      </c>
      <c r="K277" s="74">
        <f t="shared" ref="K277" si="81">SUM(F277:H277)</f>
        <v>161.20000000000002</v>
      </c>
      <c r="L277" s="21" t="s">
        <v>198</v>
      </c>
    </row>
    <row r="278" spans="2:12" hidden="1" outlineLevel="1" x14ac:dyDescent="0.2">
      <c r="B278" s="17"/>
      <c r="C278" s="17"/>
      <c r="D278" s="17"/>
      <c r="E278" s="17"/>
      <c r="F278" s="20"/>
      <c r="G278" s="20"/>
      <c r="H278" s="20"/>
      <c r="I278" s="17"/>
      <c r="J278" s="17"/>
      <c r="K278" s="20"/>
      <c r="L278" s="20"/>
    </row>
    <row r="279" spans="2:12" ht="15" hidden="1" outlineLevel="1" thickBot="1" x14ac:dyDescent="0.3">
      <c r="B279" s="17"/>
      <c r="C279" s="17"/>
      <c r="D279" s="67" t="s">
        <v>70</v>
      </c>
      <c r="E279" s="67"/>
      <c r="F279" s="68">
        <f>SUM(F222:F277)-F236-F240-F246-F253-F258-F267-F272</f>
        <v>21.542142239999997</v>
      </c>
      <c r="G279" s="68">
        <f t="shared" ref="G279:H279" si="82">SUM(G222:G277)-G236-G240-G246-G253-G258-G267-G272</f>
        <v>135.5669943518796</v>
      </c>
      <c r="H279" s="68">
        <f t="shared" si="82"/>
        <v>10483.46868923398</v>
      </c>
      <c r="I279" s="21"/>
      <c r="J279" s="68">
        <f t="shared" ref="J279:K279" si="83">SUM(J222:J277)-J236-J240-J246-J253-J258-J267-J272</f>
        <v>157.10913659187958</v>
      </c>
      <c r="K279" s="68">
        <f t="shared" si="83"/>
        <v>10640.57782582586</v>
      </c>
      <c r="L279" s="68" t="s">
        <v>198</v>
      </c>
    </row>
    <row r="280" spans="2:12" ht="13.5" hidden="1" outlineLevel="1" thickTop="1" x14ac:dyDescent="0.2">
      <c r="B280" s="17"/>
      <c r="C280" s="17"/>
      <c r="D280" s="17"/>
      <c r="E280" s="17"/>
      <c r="F280" s="20"/>
      <c r="G280" s="20"/>
      <c r="H280" s="20"/>
      <c r="I280" s="17"/>
      <c r="J280" s="17"/>
      <c r="K280" s="20"/>
      <c r="L280" s="20"/>
    </row>
    <row r="281" spans="2:12" collapsed="1" x14ac:dyDescent="0.2"/>
  </sheetData>
  <sheetProtection algorithmName="SHA-512" hashValue="cwi1y+aCZDPlBPVX/H6j3MSxqfLSqNCmZwVWs2ydhheRAcls2CXoKLkP/i15iVxjPQBP2CPYdP8+Khlo2vRVRw==" saltValue="8hZcVLNSdrzlZRp1Idcx0w==" spinCount="100000" sheet="1" selectLockedCells="1"/>
  <mergeCells count="7">
    <mergeCell ref="C79:C80"/>
    <mergeCell ref="S79:S80"/>
    <mergeCell ref="K88:K89"/>
    <mergeCell ref="D6:L6"/>
    <mergeCell ref="E20:G20"/>
    <mergeCell ref="I20:K20"/>
    <mergeCell ref="E13:G13"/>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2</xdr:col>
                    <xdr:colOff>523875</xdr:colOff>
                    <xdr:row>80</xdr:row>
                    <xdr:rowOff>28575</xdr:rowOff>
                  </from>
                  <to>
                    <xdr:col>2</xdr:col>
                    <xdr:colOff>704850</xdr:colOff>
                    <xdr:row>81</xdr:row>
                    <xdr:rowOff>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xdr:col>
                    <xdr:colOff>523875</xdr:colOff>
                    <xdr:row>81</xdr:row>
                    <xdr:rowOff>28575</xdr:rowOff>
                  </from>
                  <to>
                    <xdr:col>2</xdr:col>
                    <xdr:colOff>704850</xdr:colOff>
                    <xdr:row>81</xdr:row>
                    <xdr:rowOff>190500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2</xdr:col>
                    <xdr:colOff>523875</xdr:colOff>
                    <xdr:row>82</xdr:row>
                    <xdr:rowOff>28575</xdr:rowOff>
                  </from>
                  <to>
                    <xdr:col>2</xdr:col>
                    <xdr:colOff>704850</xdr:colOff>
                    <xdr:row>82</xdr:row>
                    <xdr:rowOff>180975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2</xdr:col>
                    <xdr:colOff>523875</xdr:colOff>
                    <xdr:row>83</xdr:row>
                    <xdr:rowOff>19050</xdr:rowOff>
                  </from>
                  <to>
                    <xdr:col>2</xdr:col>
                    <xdr:colOff>704850</xdr:colOff>
                    <xdr:row>83</xdr:row>
                    <xdr:rowOff>190500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2</xdr:col>
                    <xdr:colOff>523875</xdr:colOff>
                    <xdr:row>84</xdr:row>
                    <xdr:rowOff>19050</xdr:rowOff>
                  </from>
                  <to>
                    <xdr:col>2</xdr:col>
                    <xdr:colOff>704850</xdr:colOff>
                    <xdr:row>84</xdr:row>
                    <xdr:rowOff>180975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2</xdr:col>
                    <xdr:colOff>523875</xdr:colOff>
                    <xdr:row>85</xdr:row>
                    <xdr:rowOff>0</xdr:rowOff>
                  </from>
                  <to>
                    <xdr:col>2</xdr:col>
                    <xdr:colOff>704850</xdr:colOff>
                    <xdr:row>85</xdr:row>
                    <xdr:rowOff>180975</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2</xdr:col>
                    <xdr:colOff>523875</xdr:colOff>
                    <xdr:row>86</xdr:row>
                    <xdr:rowOff>9525</xdr:rowOff>
                  </from>
                  <to>
                    <xdr:col>2</xdr:col>
                    <xdr:colOff>704850</xdr:colOff>
                    <xdr:row>86</xdr:row>
                    <xdr:rowOff>190500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18</xdr:col>
                    <xdr:colOff>457200</xdr:colOff>
                    <xdr:row>91</xdr:row>
                    <xdr:rowOff>0</xdr:rowOff>
                  </from>
                  <to>
                    <xdr:col>18</xdr:col>
                    <xdr:colOff>666750</xdr:colOff>
                    <xdr:row>91</xdr:row>
                    <xdr:rowOff>180975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18</xdr:col>
                    <xdr:colOff>571500</xdr:colOff>
                    <xdr:row>92</xdr:row>
                    <xdr:rowOff>19050</xdr:rowOff>
                  </from>
                  <to>
                    <xdr:col>19</xdr:col>
                    <xdr:colOff>0</xdr:colOff>
                    <xdr:row>93</xdr:row>
                    <xdr:rowOff>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18</xdr:col>
                    <xdr:colOff>571500</xdr:colOff>
                    <xdr:row>93</xdr:row>
                    <xdr:rowOff>19050</xdr:rowOff>
                  </from>
                  <to>
                    <xdr:col>19</xdr:col>
                    <xdr:colOff>0</xdr:colOff>
                    <xdr:row>94</xdr:row>
                    <xdr:rowOff>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18</xdr:col>
                    <xdr:colOff>571500</xdr:colOff>
                    <xdr:row>94</xdr:row>
                    <xdr:rowOff>9525</xdr:rowOff>
                  </from>
                  <to>
                    <xdr:col>19</xdr:col>
                    <xdr:colOff>0</xdr:colOff>
                    <xdr:row>94</xdr:row>
                    <xdr:rowOff>190500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18</xdr:col>
                    <xdr:colOff>457200</xdr:colOff>
                    <xdr:row>89</xdr:row>
                    <xdr:rowOff>9525</xdr:rowOff>
                  </from>
                  <to>
                    <xdr:col>18</xdr:col>
                    <xdr:colOff>666750</xdr:colOff>
                    <xdr:row>90</xdr:row>
                    <xdr:rowOff>9525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18</xdr:col>
                    <xdr:colOff>457200</xdr:colOff>
                    <xdr:row>88</xdr:row>
                    <xdr:rowOff>0</xdr:rowOff>
                  </from>
                  <to>
                    <xdr:col>18</xdr:col>
                    <xdr:colOff>666750</xdr:colOff>
                    <xdr:row>89</xdr:row>
                    <xdr:rowOff>9525</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18</xdr:col>
                    <xdr:colOff>457200</xdr:colOff>
                    <xdr:row>90</xdr:row>
                    <xdr:rowOff>9525</xdr:rowOff>
                  </from>
                  <to>
                    <xdr:col>18</xdr:col>
                    <xdr:colOff>666750</xdr:colOff>
                    <xdr:row>91</xdr:row>
                    <xdr:rowOff>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10</xdr:col>
                    <xdr:colOff>514350</xdr:colOff>
                    <xdr:row>88</xdr:row>
                    <xdr:rowOff>152400</xdr:rowOff>
                  </from>
                  <to>
                    <xdr:col>10</xdr:col>
                    <xdr:colOff>723900</xdr:colOff>
                    <xdr:row>90</xdr:row>
                    <xdr:rowOff>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10</xdr:col>
                    <xdr:colOff>514350</xdr:colOff>
                    <xdr:row>89</xdr:row>
                    <xdr:rowOff>171450</xdr:rowOff>
                  </from>
                  <to>
                    <xdr:col>10</xdr:col>
                    <xdr:colOff>723900</xdr:colOff>
                    <xdr:row>90</xdr:row>
                    <xdr:rowOff>190500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10</xdr:col>
                    <xdr:colOff>514350</xdr:colOff>
                    <xdr:row>90</xdr:row>
                    <xdr:rowOff>180975</xdr:rowOff>
                  </from>
                  <to>
                    <xdr:col>10</xdr:col>
                    <xdr:colOff>723900</xdr:colOff>
                    <xdr:row>91</xdr:row>
                    <xdr:rowOff>190500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10</xdr:col>
                    <xdr:colOff>514350</xdr:colOff>
                    <xdr:row>91</xdr:row>
                    <xdr:rowOff>180975</xdr:rowOff>
                  </from>
                  <to>
                    <xdr:col>10</xdr:col>
                    <xdr:colOff>723900</xdr:colOff>
                    <xdr:row>93</xdr:row>
                    <xdr:rowOff>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10</xdr:col>
                    <xdr:colOff>514350</xdr:colOff>
                    <xdr:row>92</xdr:row>
                    <xdr:rowOff>180975</xdr:rowOff>
                  </from>
                  <to>
                    <xdr:col>10</xdr:col>
                    <xdr:colOff>723900</xdr:colOff>
                    <xdr:row>94</xdr:row>
                    <xdr:rowOff>0</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10</xdr:col>
                    <xdr:colOff>514350</xdr:colOff>
                    <xdr:row>93</xdr:row>
                    <xdr:rowOff>180975</xdr:rowOff>
                  </from>
                  <to>
                    <xdr:col>10</xdr:col>
                    <xdr:colOff>723900</xdr:colOff>
                    <xdr:row>95</xdr:row>
                    <xdr:rowOff>0</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10</xdr:col>
                    <xdr:colOff>514350</xdr:colOff>
                    <xdr:row>94</xdr:row>
                    <xdr:rowOff>180975</xdr:rowOff>
                  </from>
                  <to>
                    <xdr:col>10</xdr:col>
                    <xdr:colOff>723900</xdr:colOff>
                    <xdr:row>96</xdr:row>
                    <xdr:rowOff>0</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10</xdr:col>
                    <xdr:colOff>514350</xdr:colOff>
                    <xdr:row>95</xdr:row>
                    <xdr:rowOff>190500</xdr:rowOff>
                  </from>
                  <to>
                    <xdr:col>10</xdr:col>
                    <xdr:colOff>723900</xdr:colOff>
                    <xdr:row>96</xdr:row>
                    <xdr:rowOff>190500</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10</xdr:col>
                    <xdr:colOff>514350</xdr:colOff>
                    <xdr:row>96</xdr:row>
                    <xdr:rowOff>180975</xdr:rowOff>
                  </from>
                  <to>
                    <xdr:col>10</xdr:col>
                    <xdr:colOff>723900</xdr:colOff>
                    <xdr:row>97</xdr:row>
                    <xdr:rowOff>190500</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10</xdr:col>
                    <xdr:colOff>514350</xdr:colOff>
                    <xdr:row>97</xdr:row>
                    <xdr:rowOff>171450</xdr:rowOff>
                  </from>
                  <to>
                    <xdr:col>10</xdr:col>
                    <xdr:colOff>723900</xdr:colOff>
                    <xdr:row>98</xdr:row>
                    <xdr:rowOff>180975</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10</xdr:col>
                    <xdr:colOff>514350</xdr:colOff>
                    <xdr:row>98</xdr:row>
                    <xdr:rowOff>171450</xdr:rowOff>
                  </from>
                  <to>
                    <xdr:col>10</xdr:col>
                    <xdr:colOff>723900</xdr:colOff>
                    <xdr:row>99</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7F3B-F6D0-4675-A8CC-D3DC3701C10E}">
  <sheetPr>
    <pageSetUpPr fitToPage="1"/>
  </sheetPr>
  <dimension ref="B2:AA282"/>
  <sheetViews>
    <sheetView zoomScale="90" zoomScaleNormal="90" workbookViewId="0">
      <selection activeCell="G16" sqref="G16"/>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3" x14ac:dyDescent="0.2">
      <c r="B2" s="3"/>
      <c r="C2" s="89"/>
      <c r="D2" s="89"/>
      <c r="E2" s="89"/>
      <c r="F2" s="89"/>
      <c r="G2" s="89"/>
      <c r="H2" s="89"/>
      <c r="I2" s="89"/>
      <c r="J2" s="89"/>
      <c r="K2" s="89"/>
      <c r="L2" s="89"/>
      <c r="M2" s="3"/>
    </row>
    <row r="3" spans="2:13" ht="18" x14ac:dyDescent="0.25">
      <c r="B3" s="3"/>
      <c r="C3" s="89"/>
      <c r="D3" s="90" t="s">
        <v>232</v>
      </c>
      <c r="E3" s="89"/>
      <c r="F3" s="89"/>
      <c r="G3" s="89"/>
      <c r="H3" s="89"/>
      <c r="I3" s="89"/>
      <c r="J3" s="89"/>
      <c r="K3" s="89"/>
      <c r="L3" s="89"/>
      <c r="M3" s="3"/>
    </row>
    <row r="4" spans="2:13" x14ac:dyDescent="0.2">
      <c r="B4" s="3"/>
      <c r="C4" s="89"/>
      <c r="D4" s="3"/>
      <c r="E4" s="3"/>
      <c r="F4" s="3"/>
      <c r="G4" s="3"/>
      <c r="H4" s="3"/>
      <c r="I4" s="3"/>
      <c r="J4" s="3"/>
      <c r="K4" s="3"/>
      <c r="L4" s="3"/>
      <c r="M4" s="3"/>
    </row>
    <row r="5" spans="2:13" ht="21.75" customHeight="1" x14ac:dyDescent="0.2">
      <c r="B5" s="3"/>
      <c r="C5" s="89"/>
      <c r="D5" s="103" t="s">
        <v>328</v>
      </c>
      <c r="E5" s="103"/>
      <c r="F5" s="103"/>
      <c r="G5" s="103"/>
      <c r="H5" s="103"/>
      <c r="I5" s="103"/>
      <c r="J5" s="103"/>
      <c r="K5" s="103"/>
      <c r="L5" s="103"/>
      <c r="M5" s="3"/>
    </row>
    <row r="6" spans="2:13" ht="168.75" customHeight="1" x14ac:dyDescent="0.2">
      <c r="B6" s="3"/>
      <c r="C6" s="93"/>
      <c r="D6" s="386" t="s">
        <v>468</v>
      </c>
      <c r="E6" s="386"/>
      <c r="F6" s="386"/>
      <c r="G6" s="386"/>
      <c r="H6" s="386"/>
      <c r="I6" s="386"/>
      <c r="J6" s="386"/>
      <c r="K6" s="386"/>
      <c r="L6" s="386"/>
      <c r="M6" s="3"/>
    </row>
    <row r="7" spans="2:13" x14ac:dyDescent="0.2">
      <c r="B7" s="3"/>
      <c r="C7" s="89"/>
      <c r="D7" s="89"/>
      <c r="E7" s="89"/>
      <c r="F7" s="89"/>
      <c r="G7" s="89"/>
      <c r="H7" s="89"/>
      <c r="I7" s="89"/>
      <c r="J7" s="89"/>
      <c r="K7" s="89"/>
      <c r="L7" s="89"/>
      <c r="M7" s="3"/>
    </row>
    <row r="9" spans="2:13" x14ac:dyDescent="0.2">
      <c r="B9" s="3"/>
      <c r="C9" s="3"/>
      <c r="D9" s="3"/>
      <c r="E9" s="3"/>
      <c r="F9" s="3"/>
      <c r="G9" s="3"/>
      <c r="H9" s="3"/>
      <c r="I9" s="3"/>
      <c r="J9" s="3"/>
      <c r="K9" s="3"/>
      <c r="L9" s="3"/>
      <c r="M9" s="3"/>
    </row>
    <row r="10" spans="2:13" x14ac:dyDescent="0.2">
      <c r="B10" s="3"/>
      <c r="C10" s="3"/>
      <c r="D10" s="3"/>
      <c r="E10" s="3"/>
      <c r="F10" s="3"/>
      <c r="G10" s="3"/>
      <c r="H10" s="3"/>
      <c r="I10" s="3"/>
      <c r="J10" s="3"/>
      <c r="K10" s="3"/>
      <c r="L10" s="3"/>
      <c r="M10" s="3"/>
    </row>
    <row r="11" spans="2:13" ht="18" x14ac:dyDescent="0.25">
      <c r="B11" s="3"/>
      <c r="C11" s="3"/>
      <c r="D11" s="85" t="s">
        <v>267</v>
      </c>
      <c r="E11" s="94"/>
      <c r="F11" s="95"/>
      <c r="G11" s="7"/>
      <c r="H11" s="7"/>
      <c r="I11" s="7"/>
      <c r="J11" s="7"/>
      <c r="K11" s="7"/>
      <c r="L11" s="3"/>
      <c r="M11" s="3"/>
    </row>
    <row r="12" spans="2:13" ht="18" x14ac:dyDescent="0.25">
      <c r="B12" s="3"/>
      <c r="C12" s="3"/>
      <c r="D12" s="85"/>
      <c r="E12" s="94"/>
      <c r="F12" s="95"/>
      <c r="G12" s="7"/>
      <c r="H12" s="7"/>
      <c r="I12" s="7"/>
      <c r="J12" s="7"/>
      <c r="K12" s="7"/>
      <c r="L12" s="3"/>
      <c r="M12" s="3"/>
    </row>
    <row r="13" spans="2:13" ht="15.75" x14ac:dyDescent="0.25">
      <c r="B13" s="3"/>
      <c r="C13" s="3"/>
      <c r="D13" s="85"/>
      <c r="E13" s="388">
        <v>2020</v>
      </c>
      <c r="F13" s="388"/>
      <c r="G13" s="388"/>
      <c r="H13" s="7"/>
      <c r="I13" s="7"/>
      <c r="J13" s="7"/>
      <c r="K13" s="7"/>
      <c r="L13" s="3"/>
      <c r="M13" s="3"/>
    </row>
    <row r="14" spans="2:13" ht="14.25" x14ac:dyDescent="0.2">
      <c r="B14" s="3"/>
      <c r="C14" s="3"/>
      <c r="D14" s="3"/>
      <c r="E14" s="101" t="s">
        <v>83</v>
      </c>
      <c r="F14" s="139"/>
      <c r="G14" s="101" t="s">
        <v>80</v>
      </c>
      <c r="H14" s="7"/>
      <c r="I14" s="7"/>
      <c r="J14" s="7"/>
      <c r="K14" s="7"/>
      <c r="L14" s="3"/>
      <c r="M14" s="3"/>
    </row>
    <row r="15" spans="2:13" ht="14.25" x14ac:dyDescent="0.2">
      <c r="B15" s="3"/>
      <c r="C15" s="3"/>
      <c r="D15" s="3"/>
      <c r="E15" s="13"/>
      <c r="F15" s="3"/>
      <c r="G15" s="13"/>
      <c r="H15" s="7"/>
      <c r="I15" s="7"/>
      <c r="J15" s="7"/>
      <c r="K15" s="7"/>
      <c r="L15" s="3"/>
      <c r="M15" s="3"/>
    </row>
    <row r="16" spans="2:13" ht="14.25" x14ac:dyDescent="0.2">
      <c r="B16" s="3"/>
      <c r="C16" s="3"/>
      <c r="D16" s="11" t="s">
        <v>274</v>
      </c>
      <c r="E16" s="3">
        <v>10</v>
      </c>
      <c r="F16" s="3"/>
      <c r="G16" s="116"/>
      <c r="H16" s="7"/>
      <c r="I16" s="7"/>
      <c r="J16" s="7"/>
      <c r="K16" s="7"/>
      <c r="L16" s="7"/>
      <c r="M16" s="3"/>
    </row>
    <row r="17" spans="2:13" ht="14.25" x14ac:dyDescent="0.2">
      <c r="B17" s="3"/>
      <c r="C17" s="3"/>
      <c r="D17" s="11" t="s">
        <v>217</v>
      </c>
      <c r="E17" s="9">
        <f>IF(NOT(ISBLANK('Referenz Pflasterwerk'!I28)),'Referenz Pflasterwerk'!I28,'Referenz Pflasterwerk'!F28)/IF(NOT(ISBLANK(G16)),G16,E16)</f>
        <v>3200</v>
      </c>
      <c r="F17" s="3" t="s">
        <v>218</v>
      </c>
      <c r="G17" s="3"/>
      <c r="H17" s="3"/>
      <c r="I17" s="7"/>
      <c r="J17" s="7"/>
      <c r="K17" s="7"/>
      <c r="L17" s="3"/>
      <c r="M17" s="3"/>
    </row>
    <row r="18" spans="2:13" ht="14.25" x14ac:dyDescent="0.2">
      <c r="B18" s="3"/>
      <c r="C18" s="3"/>
      <c r="D18" s="3"/>
      <c r="E18" s="3"/>
      <c r="F18" s="3"/>
      <c r="G18" s="3"/>
      <c r="H18" s="3"/>
      <c r="I18" s="7"/>
      <c r="J18" s="7"/>
      <c r="K18" s="7"/>
      <c r="L18" s="3"/>
      <c r="M18" s="3"/>
    </row>
    <row r="19" spans="2:13" ht="14.25" x14ac:dyDescent="0.2">
      <c r="B19" s="3"/>
      <c r="C19" s="3"/>
      <c r="D19" s="3"/>
      <c r="E19" s="3"/>
      <c r="F19" s="3"/>
      <c r="G19" s="3"/>
      <c r="H19" s="7"/>
      <c r="I19" s="7"/>
      <c r="J19" s="7"/>
      <c r="K19" s="7"/>
      <c r="L19" s="3"/>
      <c r="M19" s="3"/>
    </row>
    <row r="20" spans="2:13" ht="14.25" customHeight="1" x14ac:dyDescent="0.2">
      <c r="B20" s="3"/>
      <c r="C20" s="3"/>
      <c r="D20" s="8"/>
      <c r="E20" s="388">
        <v>2025</v>
      </c>
      <c r="F20" s="388"/>
      <c r="G20" s="388"/>
      <c r="H20" s="13"/>
      <c r="I20" s="388">
        <v>2030</v>
      </c>
      <c r="J20" s="388"/>
      <c r="K20" s="388"/>
      <c r="L20" s="8"/>
      <c r="M20" s="3"/>
    </row>
    <row r="21" spans="2:13" x14ac:dyDescent="0.2">
      <c r="B21" s="3"/>
      <c r="C21" s="3"/>
      <c r="D21" s="8"/>
      <c r="E21" s="101" t="s">
        <v>83</v>
      </c>
      <c r="F21" s="101"/>
      <c r="G21" s="101" t="s">
        <v>80</v>
      </c>
      <c r="H21" s="13"/>
      <c r="I21" s="101" t="s">
        <v>83</v>
      </c>
      <c r="J21" s="101"/>
      <c r="K21" s="101" t="s">
        <v>80</v>
      </c>
      <c r="L21" s="8"/>
      <c r="M21" s="3"/>
    </row>
    <row r="22" spans="2:13" x14ac:dyDescent="0.2">
      <c r="B22" s="3"/>
      <c r="C22" s="3"/>
      <c r="D22" s="3"/>
      <c r="E22" s="3"/>
      <c r="F22" s="3"/>
      <c r="G22" s="3"/>
      <c r="H22" s="3"/>
      <c r="I22" s="3"/>
      <c r="J22" s="3"/>
      <c r="K22" s="3"/>
      <c r="L22" s="3"/>
      <c r="M22" s="3"/>
    </row>
    <row r="23" spans="2:13" x14ac:dyDescent="0.2">
      <c r="B23" s="3"/>
      <c r="C23" s="3"/>
      <c r="D23" s="11" t="s">
        <v>275</v>
      </c>
      <c r="E23" s="3">
        <v>5</v>
      </c>
      <c r="F23" s="3"/>
      <c r="G23" s="116"/>
      <c r="H23" s="3"/>
      <c r="I23" s="3">
        <v>10</v>
      </c>
      <c r="J23" s="3"/>
      <c r="K23" s="116"/>
      <c r="L23" s="3"/>
      <c r="M23" s="3"/>
    </row>
    <row r="24" spans="2:13" x14ac:dyDescent="0.2">
      <c r="B24" s="3"/>
      <c r="C24" s="3"/>
      <c r="D24" s="11" t="s">
        <v>235</v>
      </c>
      <c r="E24" s="79">
        <v>10</v>
      </c>
      <c r="F24" s="15" t="s">
        <v>102</v>
      </c>
      <c r="G24" s="116"/>
      <c r="H24" s="15" t="s">
        <v>102</v>
      </c>
      <c r="I24" s="79">
        <v>10</v>
      </c>
      <c r="J24" s="15" t="s">
        <v>102</v>
      </c>
      <c r="K24" s="116"/>
      <c r="L24" s="15" t="s">
        <v>102</v>
      </c>
      <c r="M24" s="3"/>
    </row>
    <row r="25" spans="2:13" x14ac:dyDescent="0.2">
      <c r="B25" s="3"/>
      <c r="C25" s="3"/>
      <c r="D25" s="11" t="s">
        <v>234</v>
      </c>
      <c r="E25" s="9">
        <f>E17*(1-IF(NOT(ISBLANK(G24)),G24/100,E24/100))</f>
        <v>2880</v>
      </c>
      <c r="F25" s="3" t="s">
        <v>218</v>
      </c>
      <c r="G25" s="15"/>
      <c r="H25" s="15"/>
      <c r="I25" s="9">
        <f>E17*(1-IF(NOT(ISBLANK(K24)),K24/100,I24/100))</f>
        <v>2880</v>
      </c>
      <c r="J25" s="3" t="s">
        <v>218</v>
      </c>
      <c r="K25" s="15"/>
      <c r="L25" s="15"/>
      <c r="M25" s="3"/>
    </row>
    <row r="26" spans="2:13" x14ac:dyDescent="0.2">
      <c r="B26" s="3"/>
      <c r="C26" s="3"/>
      <c r="D26" s="8"/>
      <c r="E26" s="80"/>
      <c r="F26" s="15"/>
      <c r="G26" s="15"/>
      <c r="H26" s="15"/>
      <c r="I26" s="80"/>
      <c r="J26" s="15"/>
      <c r="K26" s="15"/>
      <c r="L26" s="3"/>
      <c r="M26" s="3"/>
    </row>
    <row r="27" spans="2:13" x14ac:dyDescent="0.2">
      <c r="B27" s="3"/>
      <c r="C27" s="3"/>
      <c r="D27" s="12" t="s">
        <v>214</v>
      </c>
      <c r="E27" s="79">
        <v>80000</v>
      </c>
      <c r="F27" s="15" t="s">
        <v>108</v>
      </c>
      <c r="G27" s="300"/>
      <c r="H27" s="15" t="s">
        <v>108</v>
      </c>
      <c r="I27" s="79">
        <v>80000</v>
      </c>
      <c r="J27" s="15" t="s">
        <v>108</v>
      </c>
      <c r="K27" s="300"/>
      <c r="L27" s="3" t="s">
        <v>108</v>
      </c>
      <c r="M27" s="3"/>
    </row>
    <row r="28" spans="2:13" ht="14.25" x14ac:dyDescent="0.2">
      <c r="B28" s="3"/>
      <c r="C28" s="3"/>
      <c r="D28" s="78" t="s">
        <v>227</v>
      </c>
      <c r="E28" s="79">
        <v>0</v>
      </c>
      <c r="F28" s="15" t="s">
        <v>109</v>
      </c>
      <c r="G28" s="300"/>
      <c r="H28" s="15" t="s">
        <v>109</v>
      </c>
      <c r="I28" s="79">
        <v>0</v>
      </c>
      <c r="J28" s="15" t="s">
        <v>109</v>
      </c>
      <c r="K28" s="300"/>
      <c r="L28" s="3" t="s">
        <v>109</v>
      </c>
      <c r="M28" s="3"/>
    </row>
    <row r="29" spans="2:13" ht="14.25" x14ac:dyDescent="0.2">
      <c r="B29" s="3"/>
      <c r="C29" s="3"/>
      <c r="D29" s="78" t="s">
        <v>192</v>
      </c>
      <c r="E29" s="79">
        <v>0</v>
      </c>
      <c r="F29" s="15" t="s">
        <v>108</v>
      </c>
      <c r="G29" s="300"/>
      <c r="H29" s="15" t="s">
        <v>108</v>
      </c>
      <c r="I29" s="79">
        <v>0</v>
      </c>
      <c r="J29" s="15" t="s">
        <v>108</v>
      </c>
      <c r="K29" s="300"/>
      <c r="L29" s="3" t="s">
        <v>108</v>
      </c>
      <c r="M29" s="3"/>
    </row>
    <row r="30" spans="2:13" x14ac:dyDescent="0.2">
      <c r="B30" s="3"/>
      <c r="C30" s="3"/>
      <c r="D30" s="78"/>
      <c r="E30" s="80"/>
      <c r="F30" s="15"/>
      <c r="G30" s="15"/>
      <c r="H30" s="15"/>
      <c r="I30" s="15"/>
      <c r="J30" s="15"/>
      <c r="K30" s="15"/>
      <c r="L30" s="3"/>
      <c r="M30" s="3"/>
    </row>
    <row r="31" spans="2:13" x14ac:dyDescent="0.2">
      <c r="B31" s="3"/>
      <c r="C31" s="3"/>
      <c r="D31" s="78"/>
      <c r="E31" s="15"/>
      <c r="F31" s="15"/>
      <c r="G31" s="15"/>
      <c r="H31" s="15"/>
      <c r="I31" s="15"/>
      <c r="J31" s="15"/>
      <c r="K31" s="15"/>
      <c r="L31" s="15"/>
      <c r="M31" s="3"/>
    </row>
    <row r="32" spans="2:13" x14ac:dyDescent="0.2">
      <c r="B32" s="3"/>
      <c r="C32" s="3"/>
      <c r="D32" s="78" t="s">
        <v>25</v>
      </c>
      <c r="E32" s="79">
        <v>10</v>
      </c>
      <c r="F32" s="15" t="s">
        <v>101</v>
      </c>
      <c r="G32" s="116"/>
      <c r="H32" s="15" t="s">
        <v>101</v>
      </c>
      <c r="I32" s="79">
        <v>10</v>
      </c>
      <c r="J32" s="15" t="s">
        <v>101</v>
      </c>
      <c r="K32" s="116"/>
      <c r="L32" s="15" t="s">
        <v>101</v>
      </c>
      <c r="M32" s="3"/>
    </row>
    <row r="33" spans="2:27" x14ac:dyDescent="0.2">
      <c r="B33" s="3"/>
      <c r="C33" s="3"/>
      <c r="D33" s="78" t="s">
        <v>26</v>
      </c>
      <c r="E33" s="81">
        <v>8</v>
      </c>
      <c r="F33" s="15" t="s">
        <v>102</v>
      </c>
      <c r="G33" s="301"/>
      <c r="H33" s="15" t="s">
        <v>102</v>
      </c>
      <c r="I33" s="81">
        <v>8</v>
      </c>
      <c r="J33" s="15" t="s">
        <v>102</v>
      </c>
      <c r="K33" s="301"/>
      <c r="L33" s="15" t="s">
        <v>102</v>
      </c>
      <c r="M33" s="3"/>
    </row>
    <row r="34" spans="2:27" x14ac:dyDescent="0.2">
      <c r="B34" s="3"/>
      <c r="C34" s="3"/>
      <c r="D34" s="15"/>
      <c r="E34" s="81"/>
      <c r="F34" s="15"/>
      <c r="G34" s="15"/>
      <c r="H34" s="15"/>
      <c r="I34" s="80"/>
      <c r="J34" s="15"/>
      <c r="K34" s="15"/>
      <c r="L34" s="3"/>
      <c r="M34" s="3"/>
    </row>
    <row r="35" spans="2:27" x14ac:dyDescent="0.2">
      <c r="B35" s="3"/>
      <c r="C35" s="3"/>
      <c r="D35" s="15"/>
      <c r="E35" s="10"/>
      <c r="F35" s="3"/>
      <c r="G35" s="3"/>
      <c r="H35" s="3"/>
      <c r="I35" s="16"/>
      <c r="J35" s="3"/>
      <c r="K35" s="3"/>
      <c r="L35" s="3"/>
      <c r="M35" s="3"/>
    </row>
    <row r="36" spans="2:27" ht="13.5" x14ac:dyDescent="0.2">
      <c r="B36" s="3"/>
      <c r="C36" s="3"/>
      <c r="D36" s="65" t="s">
        <v>169</v>
      </c>
      <c r="E36" s="10"/>
      <c r="F36" s="3"/>
      <c r="G36" s="3"/>
      <c r="H36" s="3"/>
      <c r="I36" s="16"/>
      <c r="J36" s="3"/>
      <c r="K36" s="3"/>
      <c r="L36" s="3"/>
      <c r="M36" s="3"/>
    </row>
    <row r="37" spans="2:27" ht="13.5" x14ac:dyDescent="0.2">
      <c r="B37" s="3"/>
      <c r="C37" s="3"/>
      <c r="D37" s="65" t="s">
        <v>216</v>
      </c>
      <c r="E37" s="10"/>
      <c r="F37" s="3"/>
      <c r="G37" s="3"/>
      <c r="H37" s="3"/>
      <c r="I37" s="16"/>
      <c r="J37" s="3"/>
      <c r="K37" s="3"/>
      <c r="L37" s="3"/>
      <c r="M37" s="3"/>
    </row>
    <row r="38" spans="2:27" x14ac:dyDescent="0.2">
      <c r="B38" s="3"/>
      <c r="C38" s="3"/>
      <c r="D38" s="15"/>
      <c r="E38" s="10"/>
      <c r="F38" s="3"/>
      <c r="G38" s="3"/>
      <c r="H38" s="3"/>
      <c r="I38" s="16"/>
      <c r="J38" s="3"/>
      <c r="K38" s="3"/>
      <c r="L38" s="3"/>
      <c r="M38" s="3"/>
    </row>
    <row r="40" spans="2:27" x14ac:dyDescent="0.2">
      <c r="B40" s="3"/>
      <c r="C40" s="3"/>
      <c r="D40" s="14"/>
      <c r="E40" s="3"/>
      <c r="F40" s="3"/>
      <c r="G40" s="3"/>
      <c r="H40" s="3"/>
      <c r="I40" s="3"/>
      <c r="J40" s="3"/>
      <c r="K40" s="3"/>
      <c r="L40" s="3"/>
      <c r="M40" s="3"/>
      <c r="N40" s="3"/>
      <c r="O40" s="3"/>
      <c r="P40" s="3"/>
      <c r="Q40" s="3"/>
      <c r="R40" s="3"/>
      <c r="S40" s="3"/>
      <c r="T40" s="3"/>
      <c r="U40" s="3"/>
      <c r="V40" s="3"/>
      <c r="W40" s="3"/>
      <c r="X40" s="3"/>
      <c r="Y40" s="3"/>
      <c r="Z40" s="3"/>
      <c r="AA40" s="3"/>
    </row>
    <row r="41" spans="2:27" ht="18" x14ac:dyDescent="0.25">
      <c r="B41" s="3"/>
      <c r="C41" s="96" t="s">
        <v>233</v>
      </c>
      <c r="D41" s="14"/>
      <c r="E41" s="3"/>
      <c r="F41" s="3"/>
      <c r="G41" s="3"/>
      <c r="H41" s="3"/>
      <c r="I41" s="3"/>
      <c r="J41" s="3"/>
      <c r="K41" s="3"/>
      <c r="L41" s="3"/>
      <c r="M41" s="3"/>
      <c r="N41" s="3"/>
      <c r="O41" s="3"/>
      <c r="P41" s="3"/>
      <c r="Q41" s="3"/>
      <c r="R41" s="3"/>
      <c r="S41" s="3"/>
      <c r="T41" s="3"/>
      <c r="U41" s="3"/>
      <c r="V41" s="3"/>
      <c r="W41" s="3"/>
      <c r="X41" s="3"/>
      <c r="Y41" s="3"/>
      <c r="Z41" s="3"/>
      <c r="AA41" s="3"/>
    </row>
    <row r="42" spans="2:27" x14ac:dyDescent="0.2">
      <c r="B42" s="3"/>
      <c r="C42" s="3"/>
      <c r="D42" s="14"/>
      <c r="E42" s="3"/>
      <c r="F42" s="3"/>
      <c r="G42" s="3"/>
      <c r="H42" s="3"/>
      <c r="I42" s="3"/>
      <c r="J42" s="3"/>
      <c r="K42" s="3"/>
      <c r="L42" s="3"/>
      <c r="M42" s="3"/>
      <c r="N42" s="3"/>
      <c r="O42" s="3"/>
      <c r="P42" s="3"/>
      <c r="Q42" s="3"/>
      <c r="R42" s="3"/>
      <c r="S42" s="3"/>
      <c r="T42" s="3"/>
      <c r="U42" s="3"/>
      <c r="V42" s="3"/>
      <c r="W42" s="3"/>
      <c r="X42" s="3"/>
      <c r="Y42" s="3"/>
      <c r="Z42" s="3"/>
      <c r="AA42" s="3"/>
    </row>
    <row r="43" spans="2:27" ht="15" x14ac:dyDescent="0.25">
      <c r="B43" s="3"/>
      <c r="C43" s="91" t="s">
        <v>115</v>
      </c>
      <c r="D43" s="3"/>
      <c r="E43" s="3"/>
      <c r="F43" s="3"/>
      <c r="G43" s="3"/>
      <c r="H43" s="3"/>
      <c r="I43" s="3"/>
      <c r="J43" s="3"/>
      <c r="K43" s="91" t="s">
        <v>119</v>
      </c>
      <c r="L43" s="3"/>
      <c r="M43" s="3"/>
      <c r="N43" s="3"/>
      <c r="O43" s="3"/>
      <c r="P43" s="3"/>
      <c r="Q43" s="3"/>
      <c r="R43" s="3"/>
      <c r="S43" s="92" t="s">
        <v>87</v>
      </c>
      <c r="T43" s="3"/>
      <c r="U43" s="3"/>
      <c r="V43" s="3"/>
      <c r="W43" s="3"/>
      <c r="X43" s="3"/>
      <c r="Y43" s="3"/>
      <c r="Z43" s="3"/>
      <c r="AA43" s="3"/>
    </row>
    <row r="44" spans="2:27" x14ac:dyDescent="0.2">
      <c r="B44" s="3"/>
      <c r="C44" s="3"/>
      <c r="D44" s="14"/>
      <c r="E44" s="3"/>
      <c r="F44" s="3"/>
      <c r="G44" s="3"/>
      <c r="H44" s="3"/>
      <c r="I44" s="3"/>
      <c r="J44" s="3"/>
      <c r="K44" s="3"/>
      <c r="L44" s="3"/>
      <c r="M44" s="3"/>
      <c r="N44" s="3"/>
      <c r="O44" s="3"/>
      <c r="P44" s="3"/>
      <c r="Q44" s="3"/>
      <c r="R44" s="3"/>
      <c r="S44" s="3"/>
      <c r="T44" s="3"/>
      <c r="U44" s="3"/>
      <c r="V44" s="3"/>
      <c r="W44" s="3"/>
      <c r="X44" s="3"/>
      <c r="Y44" s="3"/>
      <c r="Z44" s="3"/>
      <c r="AA44" s="3"/>
    </row>
    <row r="45" spans="2:27" x14ac:dyDescent="0.2">
      <c r="B45" s="3"/>
      <c r="C45" s="3"/>
      <c r="D45" s="3"/>
      <c r="E45" s="3"/>
      <c r="F45" s="3"/>
      <c r="G45" s="3"/>
      <c r="H45" s="3"/>
      <c r="I45" s="3"/>
      <c r="J45" s="3"/>
      <c r="K45" s="3"/>
      <c r="L45" s="3"/>
      <c r="M45" s="3"/>
      <c r="N45" s="3"/>
      <c r="O45" s="3"/>
      <c r="P45" s="3"/>
      <c r="Q45" s="3"/>
      <c r="R45" s="3"/>
      <c r="S45" s="3"/>
      <c r="T45" s="3"/>
      <c r="U45" s="3"/>
      <c r="V45" s="3"/>
      <c r="W45" s="3"/>
      <c r="X45" s="3"/>
      <c r="Y45" s="3"/>
      <c r="Z45" s="3"/>
      <c r="AA45" s="3"/>
    </row>
    <row r="46" spans="2:27" x14ac:dyDescent="0.2">
      <c r="B46" s="3"/>
      <c r="C46" s="3"/>
      <c r="D46" s="3"/>
      <c r="E46" s="3"/>
      <c r="F46" s="3"/>
      <c r="G46" s="3"/>
      <c r="H46" s="3"/>
      <c r="I46" s="3"/>
      <c r="J46" s="3"/>
      <c r="K46" s="3"/>
      <c r="L46" s="3"/>
      <c r="M46" s="3"/>
      <c r="N46" s="3"/>
      <c r="O46" s="3"/>
      <c r="P46" s="3"/>
      <c r="Q46" s="3"/>
      <c r="R46" s="3"/>
      <c r="S46" s="3"/>
      <c r="T46" s="3"/>
      <c r="U46" s="3"/>
      <c r="V46" s="3"/>
      <c r="W46" s="3"/>
      <c r="X46" s="3"/>
      <c r="Y46" s="3"/>
      <c r="Z46" s="3"/>
      <c r="AA46" s="3"/>
    </row>
    <row r="47" spans="2:27" x14ac:dyDescent="0.2">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3"/>
      <c r="E48" s="3"/>
      <c r="F48" s="3"/>
      <c r="G48" s="3"/>
      <c r="H48" s="3"/>
      <c r="I48" s="3"/>
      <c r="J48" s="3"/>
      <c r="K48" s="3"/>
      <c r="L48" s="3"/>
      <c r="M48" s="3"/>
      <c r="N48" s="3"/>
      <c r="O48" s="3"/>
      <c r="P48" s="3"/>
      <c r="Q48" s="3"/>
      <c r="R48" s="3"/>
      <c r="S48" s="3"/>
      <c r="T48" s="3"/>
      <c r="U48" s="3"/>
      <c r="V48" s="3"/>
      <c r="W48" s="3"/>
      <c r="X48" s="3"/>
      <c r="Y48" s="3"/>
      <c r="Z48" s="3"/>
      <c r="AA48" s="3"/>
    </row>
    <row r="49" spans="2:27" x14ac:dyDescent="0.2">
      <c r="B49" s="3"/>
      <c r="C49" s="3"/>
      <c r="D49" s="3"/>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x14ac:dyDescent="0.2">
      <c r="B66" s="3"/>
      <c r="C66" s="3"/>
      <c r="D66" s="3"/>
      <c r="E66" s="3"/>
      <c r="F66" s="3"/>
      <c r="G66" s="3"/>
      <c r="H66" s="3"/>
      <c r="I66" s="3"/>
      <c r="J66" s="3"/>
      <c r="K66" s="3"/>
      <c r="L66" s="3"/>
      <c r="M66" s="3"/>
      <c r="N66" s="3"/>
      <c r="O66" s="3"/>
      <c r="P66" s="3"/>
      <c r="Q66" s="3"/>
      <c r="R66" s="3"/>
      <c r="S66" s="3"/>
      <c r="T66" s="3"/>
      <c r="U66" s="3"/>
      <c r="V66" s="3"/>
      <c r="W66" s="3"/>
      <c r="X66" s="3"/>
      <c r="Y66" s="3"/>
      <c r="Z66" s="3"/>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3"/>
      <c r="Z67" s="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7" x14ac:dyDescent="0.2">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7" x14ac:dyDescent="0.2">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7" x14ac:dyDescent="0.2">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7" x14ac:dyDescent="0.2">
      <c r="B72" s="3"/>
      <c r="C72" s="3"/>
      <c r="D72" s="3"/>
      <c r="E72" s="3"/>
      <c r="F72" s="3"/>
      <c r="G72" s="3"/>
      <c r="H72" s="3"/>
      <c r="I72" s="3"/>
      <c r="J72" s="3"/>
      <c r="K72" s="3"/>
      <c r="L72" s="3"/>
      <c r="M72" s="3"/>
      <c r="N72" s="3"/>
      <c r="O72" s="3"/>
      <c r="P72" s="3"/>
      <c r="Q72" s="3"/>
      <c r="R72" s="3"/>
      <c r="S72" s="3"/>
      <c r="T72" s="3"/>
      <c r="U72" s="3"/>
      <c r="V72" s="3"/>
      <c r="W72" s="3"/>
      <c r="X72" s="3"/>
      <c r="Y72" s="3"/>
      <c r="Z72" s="3"/>
      <c r="AA72" s="3"/>
    </row>
    <row r="73" spans="2:27" x14ac:dyDescent="0.2">
      <c r="B73" s="3"/>
      <c r="C73" s="3"/>
      <c r="D73" s="3"/>
      <c r="E73" s="3"/>
      <c r="F73" s="3"/>
      <c r="G73" s="3"/>
      <c r="H73" s="3"/>
      <c r="I73" s="3"/>
      <c r="J73" s="3"/>
      <c r="K73" s="3"/>
      <c r="L73" s="3"/>
      <c r="M73" s="3"/>
      <c r="N73" s="3"/>
      <c r="O73" s="3"/>
      <c r="P73" s="3"/>
      <c r="Q73" s="3"/>
      <c r="R73" s="3"/>
      <c r="S73" s="3"/>
      <c r="T73" s="3"/>
      <c r="U73" s="3"/>
      <c r="V73" s="3"/>
      <c r="W73" s="3"/>
      <c r="X73" s="3"/>
      <c r="Y73" s="3"/>
      <c r="Z73" s="3"/>
      <c r="AA73" s="3"/>
    </row>
    <row r="74" spans="2:27" x14ac:dyDescent="0.2">
      <c r="B74" s="3"/>
      <c r="C74" s="3"/>
      <c r="D74" s="3"/>
      <c r="E74" s="3"/>
      <c r="F74" s="3"/>
      <c r="G74" s="3"/>
      <c r="H74" s="3"/>
      <c r="I74" s="3"/>
      <c r="J74" s="3"/>
      <c r="K74" s="3"/>
      <c r="L74" s="3"/>
      <c r="M74" s="3"/>
      <c r="N74" s="3"/>
      <c r="O74" s="3"/>
      <c r="P74" s="3"/>
      <c r="Q74" s="3"/>
      <c r="R74" s="3"/>
      <c r="S74" s="3"/>
      <c r="T74" s="3"/>
      <c r="U74" s="3"/>
      <c r="V74" s="3"/>
      <c r="W74" s="3"/>
      <c r="X74" s="3"/>
      <c r="Y74" s="3"/>
      <c r="Z74" s="3"/>
      <c r="AA74" s="3"/>
    </row>
    <row r="75" spans="2:27" ht="15" customHeight="1" x14ac:dyDescent="0.25">
      <c r="B75" s="3"/>
      <c r="C75" s="96"/>
      <c r="D75" s="62"/>
      <c r="E75" s="3"/>
      <c r="F75" s="3"/>
      <c r="G75" s="3"/>
      <c r="H75" s="3"/>
      <c r="I75" s="3"/>
      <c r="J75" s="3"/>
      <c r="K75" s="3"/>
      <c r="L75" s="3"/>
      <c r="M75" s="3"/>
      <c r="N75" s="3"/>
      <c r="O75" s="3"/>
      <c r="P75" s="3"/>
      <c r="Q75" s="3"/>
      <c r="R75" s="3"/>
      <c r="S75" s="3"/>
      <c r="T75" s="3"/>
      <c r="U75" s="3"/>
      <c r="V75" s="3"/>
      <c r="W75" s="3"/>
      <c r="X75" s="3"/>
      <c r="Y75" s="84"/>
      <c r="Z75" s="84"/>
      <c r="AA75" s="3"/>
    </row>
    <row r="76" spans="2:27" x14ac:dyDescent="0.2">
      <c r="B76" s="3"/>
      <c r="C76" s="3"/>
      <c r="D76" s="3"/>
      <c r="E76" s="3"/>
      <c r="F76" s="3"/>
      <c r="G76" s="3"/>
      <c r="H76" s="3"/>
      <c r="I76" s="3"/>
      <c r="J76" s="3"/>
      <c r="K76" s="3"/>
      <c r="L76" s="3"/>
      <c r="M76" s="3"/>
      <c r="N76" s="3"/>
      <c r="O76" s="3"/>
      <c r="P76" s="3"/>
      <c r="Q76" s="3"/>
      <c r="R76" s="3"/>
      <c r="S76" s="3"/>
      <c r="T76" s="3"/>
      <c r="U76" s="3"/>
      <c r="V76" s="3"/>
      <c r="W76" s="3"/>
      <c r="X76" s="3"/>
      <c r="Y76" s="83"/>
      <c r="Z76" s="83"/>
      <c r="AA76" s="3"/>
    </row>
    <row r="77" spans="2:27" x14ac:dyDescent="0.2">
      <c r="B77" s="3"/>
      <c r="C77" s="3"/>
      <c r="D77" s="3"/>
      <c r="E77" s="3"/>
      <c r="F77" s="3"/>
      <c r="G77" s="3"/>
      <c r="H77" s="3"/>
      <c r="I77" s="3"/>
      <c r="J77" s="3"/>
      <c r="K77" s="3"/>
      <c r="L77" s="3"/>
      <c r="M77" s="3"/>
      <c r="N77" s="3"/>
      <c r="O77" s="3"/>
      <c r="P77" s="3"/>
      <c r="Q77" s="3"/>
      <c r="R77" s="3"/>
      <c r="S77" s="3"/>
      <c r="T77" s="3"/>
      <c r="U77" s="3"/>
      <c r="V77" s="3"/>
      <c r="W77" s="3"/>
      <c r="X77" s="3"/>
      <c r="Y77" s="83"/>
      <c r="Z77" s="83"/>
      <c r="AA77" s="3"/>
    </row>
    <row r="78" spans="2:27" ht="15" customHeight="1" x14ac:dyDescent="0.25">
      <c r="B78" s="3"/>
      <c r="C78" s="3"/>
      <c r="D78" s="23" t="s">
        <v>116</v>
      </c>
      <c r="E78" s="24"/>
      <c r="F78" s="24"/>
      <c r="G78" s="24"/>
      <c r="H78" s="24"/>
      <c r="I78" s="3"/>
      <c r="J78" s="3"/>
      <c r="K78" s="3"/>
      <c r="L78" s="23" t="s">
        <v>195</v>
      </c>
      <c r="M78" s="24"/>
      <c r="N78" s="24"/>
      <c r="O78" s="24"/>
      <c r="P78" s="24"/>
      <c r="Q78" s="3"/>
      <c r="R78" s="3"/>
      <c r="S78" s="3"/>
      <c r="T78" s="23" t="s">
        <v>200</v>
      </c>
      <c r="U78" s="24"/>
      <c r="V78" s="24"/>
      <c r="W78" s="24"/>
      <c r="X78" s="3"/>
      <c r="Y78" s="83"/>
      <c r="Z78" s="83"/>
      <c r="AA78" s="3"/>
    </row>
    <row r="79" spans="2:27" ht="15" customHeight="1" x14ac:dyDescent="0.25">
      <c r="B79" s="3"/>
      <c r="C79" s="387" t="s">
        <v>147</v>
      </c>
      <c r="D79" s="46"/>
      <c r="E79" s="46">
        <v>2020</v>
      </c>
      <c r="F79" s="47">
        <v>2025</v>
      </c>
      <c r="G79" s="47">
        <v>2030</v>
      </c>
      <c r="H79" s="34"/>
      <c r="I79" s="3"/>
      <c r="J79" s="3"/>
      <c r="K79" s="3"/>
      <c r="L79" s="34"/>
      <c r="M79" s="46">
        <v>2020</v>
      </c>
      <c r="N79" s="47">
        <v>2025</v>
      </c>
      <c r="O79" s="47">
        <v>2030</v>
      </c>
      <c r="P79" s="34"/>
      <c r="Q79" s="3"/>
      <c r="R79" s="3"/>
      <c r="S79" s="387" t="s">
        <v>147</v>
      </c>
      <c r="T79" s="34"/>
      <c r="U79" s="47">
        <v>2020</v>
      </c>
      <c r="V79" s="47">
        <v>2025</v>
      </c>
      <c r="W79" s="47">
        <v>2030</v>
      </c>
      <c r="X79" s="3"/>
      <c r="Y79" s="83"/>
      <c r="Z79" s="83"/>
      <c r="AA79" s="63"/>
    </row>
    <row r="80" spans="2:27" x14ac:dyDescent="0.2">
      <c r="B80" s="3"/>
      <c r="C80" s="387"/>
      <c r="D80" s="24"/>
      <c r="E80" s="48" t="s">
        <v>92</v>
      </c>
      <c r="F80" s="49"/>
      <c r="G80" s="49"/>
      <c r="H80" s="24"/>
      <c r="I80" s="3"/>
      <c r="J80" s="3"/>
      <c r="K80" s="3"/>
      <c r="L80" s="24"/>
      <c r="M80" s="48" t="s">
        <v>92</v>
      </c>
      <c r="N80" s="49"/>
      <c r="O80" s="49"/>
      <c r="P80" s="24"/>
      <c r="Q80" s="3"/>
      <c r="R80" s="3"/>
      <c r="S80" s="387"/>
      <c r="T80" s="24"/>
      <c r="U80" s="50" t="s">
        <v>92</v>
      </c>
      <c r="V80" s="50"/>
      <c r="W80" s="59"/>
      <c r="X80" s="3"/>
      <c r="Y80" s="83"/>
      <c r="Z80" s="83"/>
      <c r="AA80" s="63"/>
    </row>
    <row r="81" spans="2:27" ht="15.75" x14ac:dyDescent="0.3">
      <c r="B81" s="3"/>
      <c r="C81" s="3"/>
      <c r="D81" s="29" t="s">
        <v>32</v>
      </c>
      <c r="E81" s="32">
        <f>'Referenz Pflasterwerk'!$U$16+'Referenz Pflasterwerk'!U21</f>
        <v>8.2422000000000004</v>
      </c>
      <c r="F81" s="32">
        <f>J154+J159</f>
        <v>8.2422000000000004</v>
      </c>
      <c r="G81" s="32">
        <f>J223+J228</f>
        <v>8.2422000000000004</v>
      </c>
      <c r="H81" s="25" t="s">
        <v>164</v>
      </c>
      <c r="I81" s="3"/>
      <c r="J81" s="3"/>
      <c r="K81" s="3"/>
      <c r="L81" s="29" t="s">
        <v>118</v>
      </c>
      <c r="M81" s="26">
        <f>'Referenz Pflasterwerk'!Q74</f>
        <v>106.60088015999999</v>
      </c>
      <c r="N81" s="26">
        <f>F211</f>
        <v>102.34794326399999</v>
      </c>
      <c r="O81" s="26">
        <f>F280</f>
        <v>98.095006368</v>
      </c>
      <c r="P81" s="25" t="s">
        <v>164</v>
      </c>
      <c r="Q81" s="3"/>
      <c r="R81" s="3"/>
      <c r="S81" s="3"/>
      <c r="T81" s="57" t="s">
        <v>160</v>
      </c>
      <c r="U81" s="58">
        <f>SUM(U82:U88)</f>
        <v>172669</v>
      </c>
      <c r="V81" s="58">
        <f t="shared" ref="V81:W81" si="0">SUM(V82:V88)</f>
        <v>170870.6</v>
      </c>
      <c r="W81" s="58">
        <f t="shared" si="0"/>
        <v>169072.2</v>
      </c>
      <c r="X81" s="3"/>
      <c r="Y81" s="115"/>
      <c r="Z81" s="115"/>
      <c r="AA81" s="63"/>
    </row>
    <row r="82" spans="2:27" ht="15.75" x14ac:dyDescent="0.3">
      <c r="B82" s="3"/>
      <c r="C82" s="3"/>
      <c r="D82" s="8" t="s">
        <v>33</v>
      </c>
      <c r="E82" s="10">
        <f>'Referenz Pflasterwerk'!$U$17+'Referenz Pflasterwerk'!U22</f>
        <v>2.6676000000000002</v>
      </c>
      <c r="F82" s="10">
        <f>J155+J160</f>
        <v>2.6676000000000002</v>
      </c>
      <c r="G82" s="10">
        <f>J224+J229</f>
        <v>2.6676000000000002</v>
      </c>
      <c r="H82" s="3" t="s">
        <v>164</v>
      </c>
      <c r="I82" s="3"/>
      <c r="J82" s="3"/>
      <c r="K82" s="3"/>
      <c r="L82" s="8" t="s">
        <v>28</v>
      </c>
      <c r="M82" s="9">
        <f>'Referenz Pflasterwerk'!R74</f>
        <v>286.5</v>
      </c>
      <c r="N82" s="9">
        <f>G211</f>
        <v>208.15407848118898</v>
      </c>
      <c r="O82" s="9">
        <f>G280</f>
        <v>102.58759141018427</v>
      </c>
      <c r="P82" s="3" t="s">
        <v>164</v>
      </c>
      <c r="Q82" s="3"/>
      <c r="R82" s="3"/>
      <c r="S82" s="3"/>
      <c r="T82" s="31" t="s">
        <v>32</v>
      </c>
      <c r="U82" s="52">
        <f>'Referenz Pflasterwerk'!AB16</f>
        <v>2745</v>
      </c>
      <c r="V82" s="52">
        <f>S154+S159</f>
        <v>2745</v>
      </c>
      <c r="W82" s="52">
        <f>S223+S228</f>
        <v>2745</v>
      </c>
      <c r="X82" s="3"/>
      <c r="Y82" s="115"/>
      <c r="Z82" s="115"/>
      <c r="AA82" s="63"/>
    </row>
    <row r="83" spans="2:27" ht="15.75" x14ac:dyDescent="0.3">
      <c r="B83" s="3"/>
      <c r="C83" s="3"/>
      <c r="D83" s="29" t="s">
        <v>34</v>
      </c>
      <c r="E83" s="32">
        <f>'Referenz Pflasterwerk'!$U$18+'Referenz Pflasterwerk'!R24</f>
        <v>286.5</v>
      </c>
      <c r="F83" s="32">
        <f>J156+J162</f>
        <v>208.15407848118898</v>
      </c>
      <c r="G83" s="32">
        <f>J225+J231</f>
        <v>102.58759141018427</v>
      </c>
      <c r="H83" s="25" t="s">
        <v>164</v>
      </c>
      <c r="I83" s="3"/>
      <c r="J83" s="3"/>
      <c r="K83" s="3"/>
      <c r="L83" s="29" t="s">
        <v>29</v>
      </c>
      <c r="M83" s="26">
        <f>'Referenz Pflasterwerk'!S74</f>
        <v>10520.622960446901</v>
      </c>
      <c r="N83" s="26">
        <f>H211</f>
        <v>10508.386296129085</v>
      </c>
      <c r="O83" s="26">
        <f>H280</f>
        <v>10492.159182410947</v>
      </c>
      <c r="P83" s="25" t="s">
        <v>164</v>
      </c>
      <c r="Q83" s="3"/>
      <c r="R83" s="3"/>
      <c r="S83" s="3"/>
      <c r="T83" s="31" t="s">
        <v>33</v>
      </c>
      <c r="U83" s="52">
        <f>'Referenz Pflasterwerk'!AB17</f>
        <v>460</v>
      </c>
      <c r="V83" s="52">
        <f>S155+S160</f>
        <v>460</v>
      </c>
      <c r="W83" s="52">
        <f>S224+S229</f>
        <v>460</v>
      </c>
      <c r="X83" s="3"/>
      <c r="Y83" s="115"/>
      <c r="Z83" s="115"/>
      <c r="AA83" s="63"/>
    </row>
    <row r="84" spans="2:27" ht="16.5" thickBot="1" x14ac:dyDescent="0.35">
      <c r="B84" s="3"/>
      <c r="C84" s="3"/>
      <c r="D84" s="8" t="s">
        <v>129</v>
      </c>
      <c r="E84" s="10">
        <f>'Referenz Pflasterwerk'!$U$19</f>
        <v>0</v>
      </c>
      <c r="F84" s="10">
        <f>J157</f>
        <v>0</v>
      </c>
      <c r="G84" s="10">
        <f>J226</f>
        <v>0</v>
      </c>
      <c r="H84" s="3" t="s">
        <v>164</v>
      </c>
      <c r="I84" s="3"/>
      <c r="J84" s="3"/>
      <c r="K84" s="3"/>
      <c r="L84" s="27" t="s">
        <v>70</v>
      </c>
      <c r="M84" s="28">
        <f>SUM(M81:M83)</f>
        <v>10913.723840606901</v>
      </c>
      <c r="N84" s="28">
        <f t="shared" ref="N84:O84" si="1">SUM(N81:N83)</f>
        <v>10818.888317874274</v>
      </c>
      <c r="O84" s="28">
        <f t="shared" si="1"/>
        <v>10692.841780189132</v>
      </c>
      <c r="P84" s="27" t="s">
        <v>165</v>
      </c>
      <c r="Q84" s="3"/>
      <c r="R84" s="3"/>
      <c r="S84" s="3"/>
      <c r="T84" s="31" t="s">
        <v>34</v>
      </c>
      <c r="U84" s="52">
        <f>'Referenz Pflasterwerk'!AB18</f>
        <v>129000</v>
      </c>
      <c r="V84" s="52">
        <f>S156+S162</f>
        <v>129000</v>
      </c>
      <c r="W84" s="52">
        <f>S225+S231</f>
        <v>129000</v>
      </c>
      <c r="X84" s="3"/>
      <c r="Y84" s="115"/>
      <c r="Z84" s="115"/>
      <c r="AA84" s="63"/>
    </row>
    <row r="85" spans="2:27" ht="16.5" thickTop="1" x14ac:dyDescent="0.3">
      <c r="B85" s="3"/>
      <c r="C85" s="3"/>
      <c r="D85" s="29" t="s">
        <v>125</v>
      </c>
      <c r="E85" s="32">
        <f>'Referenz Pflasterwerk'!$U$25</f>
        <v>0</v>
      </c>
      <c r="F85" s="32">
        <f>J163</f>
        <v>0</v>
      </c>
      <c r="G85" s="32">
        <f>J232</f>
        <v>0</v>
      </c>
      <c r="H85" s="25" t="s">
        <v>164</v>
      </c>
      <c r="I85" s="3"/>
      <c r="J85" s="3"/>
      <c r="K85" s="3"/>
      <c r="L85" s="3"/>
      <c r="M85" s="3"/>
      <c r="N85" s="3"/>
      <c r="O85" s="3"/>
      <c r="P85" s="3"/>
      <c r="Q85" s="3"/>
      <c r="R85" s="3"/>
      <c r="S85" s="3"/>
      <c r="T85" s="31" t="s">
        <v>125</v>
      </c>
      <c r="U85" s="52">
        <f>'Referenz Pflasterwerk'!AB19</f>
        <v>0</v>
      </c>
      <c r="V85" s="52">
        <f>S163</f>
        <v>0</v>
      </c>
      <c r="W85" s="52">
        <f>S232</f>
        <v>0</v>
      </c>
      <c r="X85" s="3"/>
      <c r="Y85" s="115"/>
      <c r="Z85" s="115"/>
      <c r="AA85" s="63"/>
    </row>
    <row r="86" spans="2:27" ht="15.75" x14ac:dyDescent="0.3">
      <c r="B86" s="3"/>
      <c r="C86" s="3"/>
      <c r="D86" s="8" t="s">
        <v>151</v>
      </c>
      <c r="E86" s="10">
        <f>'Referenz Pflasterwerk'!$U$26</f>
        <v>0</v>
      </c>
      <c r="F86" s="10">
        <f>J164</f>
        <v>0</v>
      </c>
      <c r="G86" s="10">
        <f>J233</f>
        <v>0</v>
      </c>
      <c r="H86" s="3" t="s">
        <v>164</v>
      </c>
      <c r="I86" s="3"/>
      <c r="J86" s="3"/>
      <c r="K86" s="3"/>
      <c r="L86" s="3"/>
      <c r="M86" s="3"/>
      <c r="N86" s="3"/>
      <c r="O86" s="3"/>
      <c r="P86" s="3"/>
      <c r="Q86" s="3"/>
      <c r="R86" s="3"/>
      <c r="S86" s="3"/>
      <c r="T86" s="31" t="s">
        <v>126</v>
      </c>
      <c r="U86" s="52">
        <f>'Referenz Pflasterwerk'!AB20</f>
        <v>0</v>
      </c>
      <c r="V86" s="52">
        <f>S157</f>
        <v>0</v>
      </c>
      <c r="W86" s="52">
        <f>S226</f>
        <v>0</v>
      </c>
      <c r="X86" s="3"/>
      <c r="Y86" s="115"/>
      <c r="Z86" s="115"/>
      <c r="AA86" s="63"/>
    </row>
    <row r="87" spans="2:27" ht="15.75" x14ac:dyDescent="0.3">
      <c r="B87" s="3"/>
      <c r="C87" s="3"/>
      <c r="D87" s="29" t="s">
        <v>35</v>
      </c>
      <c r="E87" s="32">
        <f>'Referenz Pflasterwerk'!$U$28+'Referenz Pflasterwerk'!$U$29</f>
        <v>95.691080159999984</v>
      </c>
      <c r="F87" s="32">
        <f>J166+J167</f>
        <v>91.43814326399999</v>
      </c>
      <c r="G87" s="32">
        <f>J235+J236</f>
        <v>87.185206367999996</v>
      </c>
      <c r="H87" s="25" t="s">
        <v>164</v>
      </c>
      <c r="I87" s="3"/>
      <c r="J87" s="3"/>
      <c r="K87" s="3"/>
      <c r="L87" s="23" t="s">
        <v>193</v>
      </c>
      <c r="M87" s="24"/>
      <c r="N87" s="24"/>
      <c r="O87" s="24"/>
      <c r="P87" s="24"/>
      <c r="Q87" s="3"/>
      <c r="R87" s="3"/>
      <c r="S87" s="3"/>
      <c r="T87" s="31" t="s">
        <v>463</v>
      </c>
      <c r="U87" s="52">
        <f>'Referenz Pflasterwerk'!AB21</f>
        <v>0</v>
      </c>
      <c r="V87" s="52">
        <f>S164</f>
        <v>0</v>
      </c>
      <c r="W87" s="52">
        <f>S233</f>
        <v>0</v>
      </c>
      <c r="X87" s="3"/>
      <c r="Y87" s="115"/>
      <c r="Z87" s="115"/>
      <c r="AA87" s="63"/>
    </row>
    <row r="88" spans="2:27" ht="15.75" thickBot="1" x14ac:dyDescent="0.3">
      <c r="B88" s="3"/>
      <c r="C88" s="3"/>
      <c r="D88" s="27" t="s">
        <v>70</v>
      </c>
      <c r="E88" s="33">
        <f>SUM(E81:E87)</f>
        <v>393.10088015999997</v>
      </c>
      <c r="F88" s="33">
        <f>SUM(F81:F87)</f>
        <v>310.50202174518893</v>
      </c>
      <c r="G88" s="33">
        <f>SUM(G81:G87)</f>
        <v>200.68259777818429</v>
      </c>
      <c r="H88" s="27" t="s">
        <v>165</v>
      </c>
      <c r="I88" s="3"/>
      <c r="J88" s="3"/>
      <c r="K88" s="387" t="s">
        <v>147</v>
      </c>
      <c r="L88" s="34"/>
      <c r="M88" s="46">
        <v>2020</v>
      </c>
      <c r="N88" s="47">
        <v>2025</v>
      </c>
      <c r="O88" s="47">
        <v>2030</v>
      </c>
      <c r="P88" s="34"/>
      <c r="Q88" s="3"/>
      <c r="R88" s="3"/>
      <c r="S88" s="3"/>
      <c r="T88" s="51" t="s">
        <v>35</v>
      </c>
      <c r="U88" s="53">
        <f>'Referenz Pflasterwerk'!AB22</f>
        <v>40464.000000000007</v>
      </c>
      <c r="V88" s="54">
        <f>S166+S167</f>
        <v>38665.600000000006</v>
      </c>
      <c r="W88" s="54">
        <f>S235+S236</f>
        <v>36867.200000000004</v>
      </c>
      <c r="X88" s="3"/>
      <c r="Y88" s="115"/>
      <c r="Z88" s="115"/>
      <c r="AA88" s="63"/>
    </row>
    <row r="89" spans="2:27" ht="13.5" thickTop="1" x14ac:dyDescent="0.2">
      <c r="B89" s="3"/>
      <c r="C89" s="3"/>
      <c r="D89" s="3"/>
      <c r="E89" s="3"/>
      <c r="F89" s="3"/>
      <c r="G89" s="3"/>
      <c r="H89" s="3"/>
      <c r="I89" s="3"/>
      <c r="J89" s="3"/>
      <c r="K89" s="387"/>
      <c r="L89" s="24"/>
      <c r="M89" s="48" t="s">
        <v>92</v>
      </c>
      <c r="N89" s="49"/>
      <c r="O89" s="49"/>
      <c r="P89" s="24"/>
      <c r="Q89" s="3"/>
      <c r="R89" s="3"/>
      <c r="S89" s="3"/>
      <c r="T89" s="8" t="s">
        <v>31</v>
      </c>
      <c r="U89" s="55">
        <v>0</v>
      </c>
      <c r="V89" s="55">
        <f>S170</f>
        <v>72000</v>
      </c>
      <c r="W89" s="55">
        <f>S239</f>
        <v>144000</v>
      </c>
      <c r="X89" s="3"/>
      <c r="Y89" s="115"/>
      <c r="Z89" s="115"/>
      <c r="AA89" s="63"/>
    </row>
    <row r="90" spans="2:27" ht="15.75" x14ac:dyDescent="0.3">
      <c r="B90" s="3"/>
      <c r="C90" s="3"/>
      <c r="D90" s="3"/>
      <c r="E90" s="3"/>
      <c r="F90" s="3"/>
      <c r="G90" s="3"/>
      <c r="H90" s="3"/>
      <c r="I90" s="3"/>
      <c r="J90" s="3"/>
      <c r="K90" s="3"/>
      <c r="L90" s="29" t="str">
        <f>C152</f>
        <v>Energieträger gesamt</v>
      </c>
      <c r="M90" s="26">
        <f>SUM('Referenz Pflasterwerk'!S16:S29)</f>
        <v>60.712972560000004</v>
      </c>
      <c r="N90" s="26">
        <f>H152</f>
        <v>48.476308242184778</v>
      </c>
      <c r="O90" s="26">
        <f>H221</f>
        <v>32.249194524047951</v>
      </c>
      <c r="P90" s="25" t="s">
        <v>164</v>
      </c>
      <c r="Q90" s="3"/>
      <c r="R90" s="3"/>
      <c r="S90" s="3"/>
      <c r="T90" s="8" t="s">
        <v>155</v>
      </c>
      <c r="U90" s="55">
        <v>0</v>
      </c>
      <c r="V90" s="55">
        <f>S171</f>
        <v>0</v>
      </c>
      <c r="W90" s="55">
        <f>S240</f>
        <v>0</v>
      </c>
      <c r="X90" s="3"/>
      <c r="Y90" s="115"/>
      <c r="Z90" s="115"/>
      <c r="AA90" s="63"/>
    </row>
    <row r="91" spans="2:27" ht="15.75" x14ac:dyDescent="0.3">
      <c r="B91" s="3"/>
      <c r="C91" s="3"/>
      <c r="D91" s="3"/>
      <c r="E91" s="3"/>
      <c r="F91" s="3"/>
      <c r="G91" s="3"/>
      <c r="H91" s="3"/>
      <c r="I91" s="3"/>
      <c r="J91" s="3"/>
      <c r="K91" s="3"/>
      <c r="L91" s="8" t="str">
        <f>C168</f>
        <v>Transport gesamt</v>
      </c>
      <c r="M91" s="9">
        <f>'Referenz Pflasterwerk'!S32+'Referenz Pflasterwerk'!S33</f>
        <v>578.62626120000004</v>
      </c>
      <c r="N91" s="9">
        <f>H168</f>
        <v>578.62626120000004</v>
      </c>
      <c r="O91" s="9">
        <f>H237</f>
        <v>578.62626120000004</v>
      </c>
      <c r="P91" s="3" t="s">
        <v>164</v>
      </c>
      <c r="Q91" s="3"/>
      <c r="R91" s="3"/>
      <c r="S91" s="3"/>
      <c r="T91" s="59" t="s">
        <v>162</v>
      </c>
      <c r="U91" s="61">
        <v>0</v>
      </c>
      <c r="V91" s="61">
        <f>S172</f>
        <v>0</v>
      </c>
      <c r="W91" s="61">
        <f>S241</f>
        <v>0</v>
      </c>
      <c r="X91" s="3"/>
      <c r="Y91" s="115"/>
      <c r="Z91" s="115"/>
      <c r="AA91" s="63"/>
    </row>
    <row r="92" spans="2:27" ht="15.75" x14ac:dyDescent="0.3">
      <c r="B92" s="3"/>
      <c r="C92" s="3"/>
      <c r="D92" s="3"/>
      <c r="E92" s="3"/>
      <c r="F92" s="3"/>
      <c r="G92" s="3"/>
      <c r="H92" s="3"/>
      <c r="I92" s="3"/>
      <c r="J92" s="3"/>
      <c r="K92" s="3"/>
      <c r="L92" s="29" t="str">
        <f>C172</f>
        <v>Zement</v>
      </c>
      <c r="M92" s="26">
        <f>'Referenz Pflasterwerk'!S35</f>
        <v>7683.24</v>
      </c>
      <c r="N92" s="26">
        <f>H172</f>
        <v>7683.24</v>
      </c>
      <c r="O92" s="26">
        <f>H241</f>
        <v>7683.24</v>
      </c>
      <c r="P92" s="25" t="s">
        <v>164</v>
      </c>
      <c r="Q92" s="3"/>
      <c r="R92" s="3"/>
      <c r="S92" s="3"/>
      <c r="T92" s="57" t="s">
        <v>156</v>
      </c>
      <c r="U92" s="58">
        <f>SUM(U93:U95)</f>
        <v>272843.09601517254</v>
      </c>
      <c r="V92" s="58">
        <f t="shared" ref="V92:W92" si="2">SUM(V93:V95)</f>
        <v>486849.97430434235</v>
      </c>
      <c r="W92" s="58">
        <f t="shared" si="2"/>
        <v>855427.34241513058</v>
      </c>
      <c r="X92" s="3"/>
      <c r="Y92" s="115"/>
      <c r="Z92" s="115"/>
      <c r="AA92" s="63"/>
    </row>
    <row r="93" spans="2:27" ht="15.75" x14ac:dyDescent="0.3">
      <c r="B93" s="3"/>
      <c r="C93" s="3"/>
      <c r="D93" s="3"/>
      <c r="E93" s="3"/>
      <c r="F93" s="3"/>
      <c r="G93" s="3"/>
      <c r="H93" s="3"/>
      <c r="I93" s="3"/>
      <c r="J93" s="3"/>
      <c r="K93" s="3"/>
      <c r="L93" s="8" t="str">
        <f>C178</f>
        <v>Gesteinskörnungen (Zuschlagsstoffe)</v>
      </c>
      <c r="M93" s="9">
        <f>'Referenz Pflasterwerk'!S41</f>
        <v>387.03000000000003</v>
      </c>
      <c r="N93" s="9">
        <f>H178</f>
        <v>387.03000000000003</v>
      </c>
      <c r="O93" s="9">
        <f>H247</f>
        <v>387.03000000000003</v>
      </c>
      <c r="P93" s="3" t="s">
        <v>164</v>
      </c>
      <c r="Q93" s="3"/>
      <c r="R93" s="3"/>
      <c r="S93" s="3"/>
      <c r="T93" s="31" t="s">
        <v>157</v>
      </c>
      <c r="U93" s="52">
        <f>'Referenz Pflasterwerk'!AB26</f>
        <v>2665.0220039999999</v>
      </c>
      <c r="V93" s="52">
        <f>S175</f>
        <v>4605.65744688</v>
      </c>
      <c r="W93" s="52">
        <f>S244</f>
        <v>7847.6005094399998</v>
      </c>
      <c r="X93" s="3"/>
      <c r="Y93" s="115"/>
      <c r="Z93" s="115"/>
      <c r="AA93" s="63"/>
    </row>
    <row r="94" spans="2:27" ht="15.75" x14ac:dyDescent="0.3">
      <c r="B94" s="3"/>
      <c r="C94" s="3"/>
      <c r="D94" s="3"/>
      <c r="E94" s="3"/>
      <c r="F94" s="3"/>
      <c r="G94" s="3"/>
      <c r="H94" s="3"/>
      <c r="I94" s="3"/>
      <c r="J94" s="3"/>
      <c r="K94" s="3"/>
      <c r="L94" s="29" t="str">
        <f>D183</f>
        <v>Farben</v>
      </c>
      <c r="M94" s="26">
        <f>'Referenz Pflasterwerk'!S46</f>
        <v>1040</v>
      </c>
      <c r="N94" s="26">
        <f>H183</f>
        <v>1040</v>
      </c>
      <c r="O94" s="26">
        <f>H252</f>
        <v>1040</v>
      </c>
      <c r="P94" s="25" t="s">
        <v>164</v>
      </c>
      <c r="Q94" s="3"/>
      <c r="R94" s="3"/>
      <c r="S94" s="3"/>
      <c r="T94" s="31" t="s">
        <v>158</v>
      </c>
      <c r="U94" s="52">
        <f>'Referenz Pflasterwerk'!AB27</f>
        <v>7162.5</v>
      </c>
      <c r="V94" s="52">
        <f>S176</f>
        <v>9366.9335316535035</v>
      </c>
      <c r="W94" s="52">
        <f>S245</f>
        <v>8207.0073128147415</v>
      </c>
      <c r="X94" s="3"/>
      <c r="Y94" s="115"/>
      <c r="Z94" s="115"/>
      <c r="AA94" s="63"/>
    </row>
    <row r="95" spans="2:27" ht="15.75" x14ac:dyDescent="0.3">
      <c r="B95" s="3"/>
      <c r="C95" s="3"/>
      <c r="D95" s="3"/>
      <c r="E95" s="3"/>
      <c r="F95" s="3"/>
      <c r="G95" s="3"/>
      <c r="H95" s="3"/>
      <c r="I95" s="3"/>
      <c r="J95" s="3"/>
      <c r="K95" s="3"/>
      <c r="L95" s="8" t="str">
        <f>C185</f>
        <v>Zusatzstoffe (Füllstoffe)</v>
      </c>
      <c r="M95" s="9">
        <f>'Referenz Pflasterwerk'!S48</f>
        <v>424.19999999999993</v>
      </c>
      <c r="N95" s="9">
        <f>H185</f>
        <v>424.19999999999993</v>
      </c>
      <c r="O95" s="9">
        <f>H254</f>
        <v>424.19999999999993</v>
      </c>
      <c r="P95" s="3" t="s">
        <v>164</v>
      </c>
      <c r="Q95" s="3"/>
      <c r="R95" s="3"/>
      <c r="S95" s="3"/>
      <c r="T95" s="31" t="s">
        <v>159</v>
      </c>
      <c r="U95" s="52">
        <f>'Referenz Pflasterwerk'!AB28</f>
        <v>263015.57401117252</v>
      </c>
      <c r="V95" s="52">
        <f>S177</f>
        <v>472877.38332580886</v>
      </c>
      <c r="W95" s="52">
        <f>S246</f>
        <v>839372.73459287581</v>
      </c>
      <c r="X95" s="3"/>
      <c r="Y95" s="115"/>
      <c r="Z95" s="115"/>
      <c r="AA95" s="63"/>
    </row>
    <row r="96" spans="2:27" ht="16.5" thickBot="1" x14ac:dyDescent="0.35">
      <c r="B96" s="3"/>
      <c r="C96" s="3"/>
      <c r="D96" s="3"/>
      <c r="E96" s="3"/>
      <c r="F96" s="3"/>
      <c r="G96" s="3"/>
      <c r="H96" s="3"/>
      <c r="I96" s="3"/>
      <c r="J96" s="3"/>
      <c r="K96" s="3"/>
      <c r="L96" s="29" t="str">
        <f>C190</f>
        <v>Zusatzmittel</v>
      </c>
      <c r="M96" s="26">
        <f>'Referenz Pflasterwerk'!S53</f>
        <v>185.55932668689491</v>
      </c>
      <c r="N96" s="26">
        <f>H190</f>
        <v>185.55932668689491</v>
      </c>
      <c r="O96" s="26">
        <f>H259</f>
        <v>185.55932668689491</v>
      </c>
      <c r="P96" s="25" t="s">
        <v>164</v>
      </c>
      <c r="Q96" s="3"/>
      <c r="R96" s="3"/>
      <c r="S96" s="3"/>
      <c r="T96" s="27" t="s">
        <v>70</v>
      </c>
      <c r="U96" s="56">
        <f>U92+U91+U90+U89+U81</f>
        <v>445512.09601517254</v>
      </c>
      <c r="V96" s="56">
        <f t="shared" ref="V96:W96" si="3">V92+V91+V90+V89+V81</f>
        <v>729720.57430434239</v>
      </c>
      <c r="W96" s="56">
        <f t="shared" si="3"/>
        <v>1168499.5424151307</v>
      </c>
      <c r="X96" s="3"/>
      <c r="Y96" s="115"/>
      <c r="Z96" s="115"/>
      <c r="AA96" s="63"/>
    </row>
    <row r="97" spans="2:27" ht="16.5" thickTop="1" x14ac:dyDescent="0.3">
      <c r="B97" s="3"/>
      <c r="C97" s="3"/>
      <c r="D97" s="3"/>
      <c r="E97" s="3"/>
      <c r="F97" s="3"/>
      <c r="G97" s="3"/>
      <c r="H97" s="3"/>
      <c r="I97" s="3"/>
      <c r="J97" s="3"/>
      <c r="K97" s="3"/>
      <c r="L97" s="8" t="s">
        <v>194</v>
      </c>
      <c r="M97" s="9">
        <f>'Referenz Pflasterwerk'!S59+'Referenz Pflasterwerk'!S60</f>
        <v>5.4399999999999997E-2</v>
      </c>
      <c r="N97" s="9">
        <f>H196+H197</f>
        <v>5.4399999999999997E-2</v>
      </c>
      <c r="O97" s="9">
        <f>H265+H266</f>
        <v>5.4399999999999997E-2</v>
      </c>
      <c r="P97" s="3" t="s">
        <v>164</v>
      </c>
      <c r="Q97" s="3"/>
      <c r="R97" s="3"/>
      <c r="S97" s="3"/>
      <c r="T97" s="3"/>
      <c r="U97" s="3"/>
      <c r="V97" s="3"/>
      <c r="W97" s="3"/>
      <c r="X97" s="3"/>
      <c r="Y97" s="63"/>
      <c r="Z97" s="63"/>
      <c r="AA97" s="63"/>
    </row>
    <row r="98" spans="2:27" ht="16.5" thickBot="1" x14ac:dyDescent="0.35">
      <c r="B98" s="3"/>
      <c r="C98" s="3"/>
      <c r="D98" s="3"/>
      <c r="E98" s="3"/>
      <c r="F98" s="3"/>
      <c r="G98" s="3"/>
      <c r="H98" s="3"/>
      <c r="I98" s="3"/>
      <c r="J98" s="3"/>
      <c r="K98" s="3"/>
      <c r="L98" s="29" t="str">
        <f>C199</f>
        <v>Oberflächenschutzsysteme</v>
      </c>
      <c r="M98" s="26">
        <f>'Referenz Pflasterwerk'!S62</f>
        <v>0</v>
      </c>
      <c r="N98" s="26">
        <f>H199</f>
        <v>0</v>
      </c>
      <c r="O98" s="26">
        <f>H268</f>
        <v>0</v>
      </c>
      <c r="P98" s="25" t="s">
        <v>164</v>
      </c>
      <c r="Q98" s="3"/>
      <c r="R98" s="3"/>
      <c r="S98" s="3"/>
      <c r="T98" s="104" t="s">
        <v>211</v>
      </c>
      <c r="U98" s="105">
        <f>U96-U95</f>
        <v>182496.52200400003</v>
      </c>
      <c r="V98" s="105">
        <f>V96-V95</f>
        <v>256843.19097853353</v>
      </c>
      <c r="W98" s="105">
        <f>W96-W95</f>
        <v>329126.80782225484</v>
      </c>
      <c r="X98" s="3"/>
      <c r="Y98" s="3"/>
      <c r="Z98" s="3"/>
      <c r="AA98" s="3"/>
    </row>
    <row r="99" spans="2:27" ht="16.5" thickBot="1" x14ac:dyDescent="0.35">
      <c r="B99" s="3"/>
      <c r="C99" s="3"/>
      <c r="D99" s="3"/>
      <c r="E99" s="3"/>
      <c r="F99" s="3"/>
      <c r="G99" s="3"/>
      <c r="H99" s="3"/>
      <c r="I99" s="3"/>
      <c r="J99" s="3"/>
      <c r="K99" s="3"/>
      <c r="L99" s="8" t="str">
        <f>C204</f>
        <v>Oberflächenbearbeitung (vor/nach Erhärtung)</v>
      </c>
      <c r="M99" s="9">
        <f>'Referenz Pflasterwerk'!S67</f>
        <v>0</v>
      </c>
      <c r="N99" s="9">
        <f>H204</f>
        <v>0</v>
      </c>
      <c r="O99" s="9">
        <f>H273</f>
        <v>0</v>
      </c>
      <c r="P99" s="3" t="s">
        <v>164</v>
      </c>
      <c r="Q99" s="3"/>
      <c r="R99" s="3"/>
      <c r="S99" s="3"/>
      <c r="T99" s="106" t="s">
        <v>161</v>
      </c>
      <c r="U99" s="107">
        <f>U96-U92</f>
        <v>172669</v>
      </c>
      <c r="V99" s="107">
        <f>V96-V92</f>
        <v>242870.60000000003</v>
      </c>
      <c r="W99" s="107">
        <f>W96-W92</f>
        <v>313072.20000000007</v>
      </c>
      <c r="X99" s="3"/>
      <c r="Y99" s="3"/>
      <c r="Z99" s="3"/>
      <c r="AA99" s="3"/>
    </row>
    <row r="100" spans="2:27" ht="15.75" x14ac:dyDescent="0.3">
      <c r="B100" s="3"/>
      <c r="C100" s="3"/>
      <c r="D100" s="3"/>
      <c r="E100" s="3"/>
      <c r="F100" s="3"/>
      <c r="G100" s="3"/>
      <c r="H100" s="3"/>
      <c r="I100" s="3"/>
      <c r="J100" s="3"/>
      <c r="K100" s="3"/>
      <c r="L100" s="29" t="str">
        <f>D209</f>
        <v>Verpackungsmaterial</v>
      </c>
      <c r="M100" s="26">
        <f>'Referenz Pflasterwerk'!S72</f>
        <v>161.20000000000002</v>
      </c>
      <c r="N100" s="26">
        <f>H209</f>
        <v>161.20000000000002</v>
      </c>
      <c r="O100" s="26">
        <f>H278</f>
        <v>161.20000000000002</v>
      </c>
      <c r="P100" s="25" t="s">
        <v>164</v>
      </c>
      <c r="Q100" s="3"/>
      <c r="R100" s="3"/>
      <c r="S100" s="3"/>
      <c r="T100" s="3"/>
      <c r="U100" s="3"/>
      <c r="V100" s="3"/>
      <c r="W100" s="3"/>
      <c r="X100" s="3"/>
      <c r="Y100" s="3"/>
      <c r="Z100" s="3"/>
      <c r="AA100" s="3"/>
    </row>
    <row r="101" spans="2:27" ht="15" thickBot="1" x14ac:dyDescent="0.3">
      <c r="B101" s="3"/>
      <c r="C101" s="3"/>
      <c r="D101" s="3"/>
      <c r="E101" s="3"/>
      <c r="F101" s="3"/>
      <c r="G101" s="3"/>
      <c r="H101" s="3"/>
      <c r="I101" s="3"/>
      <c r="J101" s="3"/>
      <c r="K101" s="3"/>
      <c r="L101" s="27" t="s">
        <v>70</v>
      </c>
      <c r="M101" s="28">
        <f>SUM(M90:M100)</f>
        <v>10520.622960446897</v>
      </c>
      <c r="N101" s="28">
        <f t="shared" ref="N101" si="4">SUM(N90:N100)</f>
        <v>10508.386296129082</v>
      </c>
      <c r="O101" s="28">
        <f>SUM(O90:O100)</f>
        <v>10492.159182410946</v>
      </c>
      <c r="P101" s="27" t="s">
        <v>165</v>
      </c>
      <c r="Q101" s="3"/>
      <c r="R101" s="3"/>
      <c r="S101" s="3"/>
      <c r="T101" s="3"/>
      <c r="U101" s="3"/>
      <c r="V101" s="3"/>
      <c r="W101" s="3"/>
      <c r="X101" s="3"/>
      <c r="Y101" s="3"/>
      <c r="Z101" s="3"/>
      <c r="AA101" s="3"/>
    </row>
    <row r="102" spans="2:27" ht="13.5" thickTop="1" x14ac:dyDescent="0.2">
      <c r="B102" s="3"/>
      <c r="C102" s="3"/>
      <c r="D102" s="3"/>
      <c r="E102" s="3"/>
      <c r="F102" s="3"/>
      <c r="G102" s="3"/>
      <c r="H102" s="3"/>
      <c r="I102" s="3"/>
      <c r="J102" s="3"/>
      <c r="K102" s="3"/>
      <c r="L102" s="8"/>
      <c r="M102" s="82"/>
      <c r="N102" s="82"/>
      <c r="O102" s="82"/>
      <c r="P102" s="8"/>
      <c r="Q102" s="3"/>
      <c r="R102" s="3"/>
      <c r="S102" s="3"/>
      <c r="T102" s="3"/>
      <c r="U102" s="3"/>
      <c r="V102" s="3"/>
      <c r="W102" s="3"/>
      <c r="X102" s="3"/>
      <c r="Y102" s="3"/>
      <c r="Z102" s="3"/>
      <c r="AA102" s="3"/>
    </row>
    <row r="103" spans="2:27" x14ac:dyDescent="0.2">
      <c r="B103" s="3"/>
      <c r="C103" s="3"/>
      <c r="D103" s="3"/>
      <c r="E103" s="3"/>
      <c r="F103" s="3"/>
      <c r="G103" s="3"/>
      <c r="H103" s="3"/>
      <c r="I103" s="3"/>
      <c r="J103" s="3"/>
      <c r="K103" s="3"/>
      <c r="L103" s="8"/>
      <c r="M103" s="82"/>
      <c r="N103" s="82"/>
      <c r="O103" s="82"/>
      <c r="P103" s="8"/>
      <c r="Q103" s="3"/>
      <c r="R103" s="3"/>
      <c r="S103" s="3"/>
      <c r="T103" s="3"/>
      <c r="U103" s="3"/>
      <c r="V103" s="3"/>
      <c r="W103" s="3"/>
      <c r="X103" s="3"/>
      <c r="Y103" s="3"/>
      <c r="Z103" s="3"/>
      <c r="AA103" s="3"/>
    </row>
    <row r="104" spans="2:27" ht="15" x14ac:dyDescent="0.25">
      <c r="B104" s="3"/>
      <c r="C104" s="3"/>
      <c r="D104" s="3"/>
      <c r="E104" s="3"/>
      <c r="F104" s="3"/>
      <c r="G104" s="3"/>
      <c r="H104" s="3"/>
      <c r="I104" s="3"/>
      <c r="J104" s="3"/>
      <c r="K104" s="3"/>
      <c r="L104" s="23" t="s">
        <v>209</v>
      </c>
      <c r="M104" s="3"/>
      <c r="N104" s="3"/>
      <c r="O104" s="3"/>
      <c r="P104" s="3"/>
      <c r="Q104" s="3"/>
      <c r="R104" s="3"/>
      <c r="S104" s="3"/>
      <c r="T104" s="3"/>
      <c r="U104" s="3"/>
      <c r="V104" s="3"/>
      <c r="W104" s="3"/>
      <c r="X104" s="3"/>
      <c r="Y104" s="3"/>
      <c r="Z104" s="3"/>
      <c r="AA104" s="3"/>
    </row>
    <row r="105" spans="2:27" ht="15" x14ac:dyDescent="0.25">
      <c r="B105" s="3"/>
      <c r="C105" s="3"/>
      <c r="D105" s="3"/>
      <c r="E105" s="3"/>
      <c r="F105" s="3"/>
      <c r="G105" s="3"/>
      <c r="H105" s="3"/>
      <c r="I105" s="3"/>
      <c r="J105" s="3"/>
      <c r="K105" s="3"/>
      <c r="L105" s="34"/>
      <c r="M105" s="46">
        <v>2020</v>
      </c>
      <c r="N105" s="47">
        <v>2025</v>
      </c>
      <c r="O105" s="47">
        <v>2030</v>
      </c>
      <c r="P105" s="34"/>
      <c r="Q105" s="3"/>
      <c r="R105" s="3"/>
      <c r="S105" s="3"/>
      <c r="T105" s="3"/>
      <c r="U105" s="3"/>
      <c r="V105" s="3"/>
      <c r="W105" s="3"/>
      <c r="X105" s="3"/>
      <c r="Y105" s="3"/>
      <c r="Z105" s="3"/>
      <c r="AA105" s="3"/>
    </row>
    <row r="106" spans="2:27" x14ac:dyDescent="0.2">
      <c r="B106" s="3"/>
      <c r="C106" s="3"/>
      <c r="D106" s="3"/>
      <c r="E106" s="3"/>
      <c r="F106" s="3"/>
      <c r="G106" s="3"/>
      <c r="H106" s="3"/>
      <c r="I106" s="3"/>
      <c r="J106" s="3"/>
      <c r="K106" s="3"/>
      <c r="L106" s="24"/>
      <c r="M106" s="48" t="s">
        <v>92</v>
      </c>
      <c r="N106" s="49"/>
      <c r="O106" s="49"/>
      <c r="P106" s="24"/>
      <c r="Q106" s="3"/>
      <c r="R106" s="3"/>
      <c r="S106" s="3"/>
      <c r="T106" s="3"/>
      <c r="U106" s="3"/>
      <c r="V106" s="3"/>
      <c r="W106" s="3"/>
      <c r="X106" s="3"/>
      <c r="Y106" s="3"/>
      <c r="Z106" s="3"/>
      <c r="AA106" s="3"/>
    </row>
    <row r="107" spans="2:27" ht="15.75" x14ac:dyDescent="0.3">
      <c r="B107" s="3"/>
      <c r="C107" s="3"/>
      <c r="D107" s="3"/>
      <c r="E107" s="3"/>
      <c r="F107" s="3"/>
      <c r="G107" s="3"/>
      <c r="H107" s="3"/>
      <c r="I107" s="3"/>
      <c r="J107" s="3"/>
      <c r="K107" s="3"/>
      <c r="L107" s="29" t="s">
        <v>118</v>
      </c>
      <c r="M107" s="97">
        <f>M81/IF(NOT(ISBLANK('Referenz Pflasterwerk'!$I$12)),'Referenz Pflasterwerk'!$I$12,'Referenz Pflasterwerk'!$F$12)</f>
        <v>1.0660088015999999E-3</v>
      </c>
      <c r="N107" s="97">
        <f>N81/IF(NOT(ISBLANK('Referenz Pflasterwerk'!$I$12)),'Referenz Pflasterwerk'!$I$12,'Referenz Pflasterwerk'!$F$12)</f>
        <v>1.0234794326399999E-3</v>
      </c>
      <c r="O107" s="97">
        <f>O81/IF(NOT(ISBLANK('Referenz Pflasterwerk'!$I$12)),'Referenz Pflasterwerk'!$I$12,'Referenz Pflasterwerk'!$F$12)</f>
        <v>9.8095006368000004E-4</v>
      </c>
      <c r="P107" s="25" t="s">
        <v>208</v>
      </c>
      <c r="Q107" s="3"/>
      <c r="R107" s="3"/>
      <c r="S107" s="3"/>
      <c r="T107" s="3"/>
      <c r="U107" s="3"/>
      <c r="V107" s="3"/>
      <c r="W107" s="3"/>
      <c r="X107" s="3"/>
      <c r="Y107" s="3"/>
      <c r="Z107" s="3"/>
      <c r="AA107" s="3"/>
    </row>
    <row r="108" spans="2:27" ht="15.75" x14ac:dyDescent="0.3">
      <c r="B108" s="3"/>
      <c r="C108" s="3"/>
      <c r="D108" s="3"/>
      <c r="E108" s="3"/>
      <c r="F108" s="3"/>
      <c r="G108" s="3"/>
      <c r="H108" s="3"/>
      <c r="I108" s="3"/>
      <c r="J108" s="3"/>
      <c r="K108" s="3"/>
      <c r="L108" s="8" t="s">
        <v>28</v>
      </c>
      <c r="M108" s="98">
        <f>M82/IF(NOT(ISBLANK('Referenz Pflasterwerk'!$I$12)),'Referenz Pflasterwerk'!$I$12,'Referenz Pflasterwerk'!$F$12)</f>
        <v>2.8649999999999999E-3</v>
      </c>
      <c r="N108" s="98">
        <f>N82/IF(NOT(ISBLANK('Referenz Pflasterwerk'!$I$12)),'Referenz Pflasterwerk'!$I$12,'Referenz Pflasterwerk'!$F$12)</f>
        <v>2.0815407848118897E-3</v>
      </c>
      <c r="O108" s="98">
        <f>O82/IF(NOT(ISBLANK('Referenz Pflasterwerk'!$I$12)),'Referenz Pflasterwerk'!$I$12,'Referenz Pflasterwerk'!$F$12)</f>
        <v>1.0258759141018427E-3</v>
      </c>
      <c r="P108" s="3" t="s">
        <v>208</v>
      </c>
      <c r="Q108" s="3"/>
      <c r="R108" s="3"/>
      <c r="S108" s="3"/>
      <c r="T108" s="3"/>
      <c r="U108" s="3"/>
      <c r="V108" s="3"/>
      <c r="W108" s="3"/>
      <c r="X108" s="3"/>
      <c r="Y108" s="3"/>
      <c r="Z108" s="3"/>
      <c r="AA108" s="3"/>
    </row>
    <row r="109" spans="2:27" ht="15.75" x14ac:dyDescent="0.3">
      <c r="B109" s="3"/>
      <c r="C109" s="3"/>
      <c r="D109" s="3"/>
      <c r="E109" s="3"/>
      <c r="F109" s="3"/>
      <c r="G109" s="3"/>
      <c r="H109" s="3"/>
      <c r="I109" s="3"/>
      <c r="J109" s="3"/>
      <c r="K109" s="3"/>
      <c r="L109" s="29" t="s">
        <v>29</v>
      </c>
      <c r="M109" s="97">
        <f>M83/IF(NOT(ISBLANK('Referenz Pflasterwerk'!$I$12)),'Referenz Pflasterwerk'!$I$12,'Referenz Pflasterwerk'!$F$12)</f>
        <v>0.10520622960446901</v>
      </c>
      <c r="N109" s="97">
        <f>N83/IF(NOT(ISBLANK('Referenz Pflasterwerk'!$I$12)),'Referenz Pflasterwerk'!$I$12,'Referenz Pflasterwerk'!$F$12)</f>
        <v>0.10508386296129085</v>
      </c>
      <c r="O109" s="97">
        <f>O83/IF(NOT(ISBLANK('Referenz Pflasterwerk'!$I$12)),'Referenz Pflasterwerk'!$I$12,'Referenz Pflasterwerk'!$F$12)</f>
        <v>0.10492159182410947</v>
      </c>
      <c r="P109" s="25" t="s">
        <v>208</v>
      </c>
      <c r="Q109" s="3"/>
      <c r="R109" s="3"/>
      <c r="S109" s="3"/>
      <c r="T109" s="3"/>
      <c r="U109" s="3"/>
      <c r="V109" s="3"/>
      <c r="W109" s="3"/>
      <c r="X109" s="3"/>
      <c r="Y109" s="3"/>
      <c r="Z109" s="3"/>
      <c r="AA109" s="3"/>
    </row>
    <row r="110" spans="2:27" ht="15" thickBot="1" x14ac:dyDescent="0.3">
      <c r="B110" s="3"/>
      <c r="C110" s="3"/>
      <c r="D110" s="3"/>
      <c r="E110" s="3"/>
      <c r="F110" s="3"/>
      <c r="G110" s="3"/>
      <c r="H110" s="3"/>
      <c r="I110" s="3"/>
      <c r="J110" s="3"/>
      <c r="K110" s="3"/>
      <c r="L110" s="27" t="s">
        <v>70</v>
      </c>
      <c r="M110" s="99">
        <f>M84/IF(NOT(ISBLANK('Referenz Pflasterwerk'!$I$12)),'Referenz Pflasterwerk'!$I$12,'Referenz Pflasterwerk'!$F$12)</f>
        <v>0.10913723840606901</v>
      </c>
      <c r="N110" s="99">
        <f>N84/IF(NOT(ISBLANK('Referenz Pflasterwerk'!$I$12)),'Referenz Pflasterwerk'!$I$12,'Referenz Pflasterwerk'!$F$12)</f>
        <v>0.10818888317874274</v>
      </c>
      <c r="O110" s="99">
        <f>O84/IF(NOT(ISBLANK('Referenz Pflasterwerk'!$I$12)),'Referenz Pflasterwerk'!$I$12,'Referenz Pflasterwerk'!$F$12)</f>
        <v>0.10692841780189132</v>
      </c>
      <c r="P110" s="27" t="s">
        <v>210</v>
      </c>
      <c r="Q110" s="3"/>
      <c r="R110" s="3"/>
      <c r="S110" s="3"/>
      <c r="T110" s="3"/>
      <c r="U110" s="3"/>
      <c r="V110" s="3"/>
      <c r="W110" s="3"/>
      <c r="X110" s="3"/>
      <c r="Y110" s="3"/>
      <c r="Z110" s="3"/>
      <c r="AA110" s="3"/>
    </row>
    <row r="111" spans="2:27" ht="13.5" thickTop="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2:27"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2:27"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6" spans="2:27" hidden="1" outlineLevel="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2:27" ht="15.75" hidden="1" outlineLevel="1" x14ac:dyDescent="0.25">
      <c r="B117" s="3"/>
      <c r="C117" s="3"/>
      <c r="D117" s="62" t="s">
        <v>146</v>
      </c>
      <c r="E117" s="3"/>
      <c r="F117" s="3"/>
      <c r="G117" s="3"/>
      <c r="H117" s="3"/>
      <c r="I117" s="3"/>
      <c r="J117" s="3"/>
      <c r="K117" s="3"/>
      <c r="L117" s="62" t="s">
        <v>146</v>
      </c>
      <c r="M117" s="3"/>
      <c r="N117" s="3"/>
      <c r="O117" s="3"/>
      <c r="P117" s="3"/>
      <c r="Q117" s="3"/>
      <c r="R117" s="3"/>
      <c r="S117" s="62" t="s">
        <v>146</v>
      </c>
      <c r="T117" s="24"/>
      <c r="U117" s="24"/>
      <c r="V117" s="24"/>
      <c r="W117" s="24"/>
      <c r="X117" s="3"/>
      <c r="Y117" s="3"/>
    </row>
    <row r="118" spans="2:27" ht="15" hidden="1" outlineLevel="1" x14ac:dyDescent="0.25">
      <c r="B118" s="3"/>
      <c r="C118" s="3"/>
      <c r="D118" s="35" t="s">
        <v>116</v>
      </c>
      <c r="E118" s="35">
        <v>2020</v>
      </c>
      <c r="F118" s="35">
        <v>2025</v>
      </c>
      <c r="G118" s="35">
        <v>2030</v>
      </c>
      <c r="H118" s="34"/>
      <c r="I118" s="3"/>
      <c r="J118" s="3"/>
      <c r="K118" s="3"/>
      <c r="L118" s="35" t="s">
        <v>265</v>
      </c>
      <c r="M118" s="35">
        <v>2020</v>
      </c>
      <c r="N118" s="35">
        <v>2025</v>
      </c>
      <c r="O118" s="35">
        <v>2030</v>
      </c>
      <c r="P118" s="34"/>
      <c r="Q118" s="3"/>
      <c r="R118" s="3"/>
      <c r="S118" s="3"/>
      <c r="T118" s="46" t="s">
        <v>200</v>
      </c>
      <c r="U118" s="47">
        <v>2020</v>
      </c>
      <c r="V118" s="47">
        <v>2025</v>
      </c>
      <c r="W118" s="47">
        <v>2030</v>
      </c>
      <c r="X118" s="3"/>
      <c r="Y118" s="3"/>
    </row>
    <row r="119" spans="2:27" hidden="1" outlineLevel="1" x14ac:dyDescent="0.2">
      <c r="B119" s="3"/>
      <c r="C119" s="3"/>
      <c r="D119" s="24"/>
      <c r="E119" s="60" t="s">
        <v>92</v>
      </c>
      <c r="F119" s="59"/>
      <c r="G119" s="59"/>
      <c r="H119" s="24"/>
      <c r="I119" s="3"/>
      <c r="J119" s="3"/>
      <c r="K119" s="3"/>
      <c r="L119" s="24"/>
      <c r="M119" s="60" t="s">
        <v>92</v>
      </c>
      <c r="N119" s="59"/>
      <c r="O119" s="59"/>
      <c r="P119" s="24"/>
      <c r="Q119" s="3"/>
      <c r="R119" s="3"/>
      <c r="S119" s="3"/>
      <c r="T119" s="24"/>
      <c r="U119" s="50" t="s">
        <v>92</v>
      </c>
      <c r="V119" s="50"/>
      <c r="W119" s="59"/>
      <c r="X119" s="3"/>
      <c r="Y119" s="3"/>
    </row>
    <row r="120" spans="2:27" ht="15.75" hidden="1" outlineLevel="1" x14ac:dyDescent="0.3">
      <c r="B120" s="3"/>
      <c r="C120" s="3"/>
      <c r="D120" s="3" t="str">
        <f t="shared" ref="D120:D126" si="5">IF($I120,D81,"")</f>
        <v/>
      </c>
      <c r="E120" s="10" t="e">
        <f t="shared" ref="E120:G126" si="6">IF($I120,E81,NA())</f>
        <v>#N/A</v>
      </c>
      <c r="F120" s="10" t="e">
        <f t="shared" si="6"/>
        <v>#N/A</v>
      </c>
      <c r="G120" s="10" t="e">
        <f t="shared" si="6"/>
        <v>#N/A</v>
      </c>
      <c r="H120" s="3" t="s">
        <v>164</v>
      </c>
      <c r="I120" s="361" t="b">
        <v>0</v>
      </c>
      <c r="J120" s="3"/>
      <c r="K120" s="3"/>
      <c r="L120" s="3" t="str">
        <f t="shared" ref="L120:L130" si="7">IF($Q120,L90,"")</f>
        <v>Energieträger gesamt</v>
      </c>
      <c r="M120" s="9">
        <f>IF($Q120,M90,NA())</f>
        <v>60.712972560000004</v>
      </c>
      <c r="N120" s="9">
        <f>IF($Q120,N90,NA())</f>
        <v>48.476308242184778</v>
      </c>
      <c r="O120" s="9">
        <f t="shared" ref="O120" si="8">IF($Q120,O90,NA())</f>
        <v>32.249194524047951</v>
      </c>
      <c r="P120" s="3" t="s">
        <v>164</v>
      </c>
      <c r="Q120" s="3" t="b">
        <v>1</v>
      </c>
      <c r="R120" s="3"/>
      <c r="S120" s="3"/>
      <c r="T120" s="57" t="s">
        <v>160</v>
      </c>
      <c r="U120" s="58">
        <f>SUM(U121:U127)</f>
        <v>172669</v>
      </c>
      <c r="V120" s="58">
        <f t="shared" ref="V120:W120" si="9">SUM(V121:V127)</f>
        <v>170870.6</v>
      </c>
      <c r="W120" s="58">
        <f t="shared" si="9"/>
        <v>169072.2</v>
      </c>
      <c r="X120" s="3"/>
      <c r="Y120" s="3"/>
    </row>
    <row r="121" spans="2:27" ht="15.75" hidden="1" outlineLevel="1" x14ac:dyDescent="0.3">
      <c r="B121" s="3"/>
      <c r="C121" s="3"/>
      <c r="D121" s="3" t="str">
        <f t="shared" si="5"/>
        <v/>
      </c>
      <c r="E121" s="10" t="e">
        <f t="shared" si="6"/>
        <v>#N/A</v>
      </c>
      <c r="F121" s="10" t="e">
        <f t="shared" si="6"/>
        <v>#N/A</v>
      </c>
      <c r="G121" s="10" t="e">
        <f t="shared" si="6"/>
        <v>#N/A</v>
      </c>
      <c r="H121" s="3" t="s">
        <v>164</v>
      </c>
      <c r="I121" s="361" t="b">
        <v>0</v>
      </c>
      <c r="J121" s="3"/>
      <c r="K121" s="3"/>
      <c r="L121" s="3" t="str">
        <f t="shared" si="7"/>
        <v>Transport gesamt</v>
      </c>
      <c r="M121" s="9">
        <f t="shared" ref="M121:O130" si="10">IF($Q121,M91,NA())</f>
        <v>578.62626120000004</v>
      </c>
      <c r="N121" s="9">
        <f t="shared" si="10"/>
        <v>578.62626120000004</v>
      </c>
      <c r="O121" s="9">
        <f t="shared" si="10"/>
        <v>578.62626120000004</v>
      </c>
      <c r="P121" s="3" t="s">
        <v>164</v>
      </c>
      <c r="Q121" s="3" t="b">
        <v>1</v>
      </c>
      <c r="R121" s="3"/>
      <c r="S121" s="3"/>
      <c r="T121" s="31" t="s">
        <v>32</v>
      </c>
      <c r="U121" s="52">
        <f>U82</f>
        <v>2745</v>
      </c>
      <c r="V121" s="52">
        <f t="shared" ref="V121:W121" si="11">V82</f>
        <v>2745</v>
      </c>
      <c r="W121" s="52">
        <f t="shared" si="11"/>
        <v>2745</v>
      </c>
      <c r="X121" s="3"/>
      <c r="Y121" s="3"/>
    </row>
    <row r="122" spans="2:27" ht="15.75" hidden="1" outlineLevel="1" x14ac:dyDescent="0.3">
      <c r="B122" s="3"/>
      <c r="C122" s="3"/>
      <c r="D122" s="3" t="str">
        <f t="shared" si="5"/>
        <v/>
      </c>
      <c r="E122" s="10" t="e">
        <f t="shared" si="6"/>
        <v>#N/A</v>
      </c>
      <c r="F122" s="10" t="e">
        <f t="shared" si="6"/>
        <v>#N/A</v>
      </c>
      <c r="G122" s="10" t="e">
        <f t="shared" si="6"/>
        <v>#N/A</v>
      </c>
      <c r="H122" s="3" t="s">
        <v>164</v>
      </c>
      <c r="I122" s="361" t="b">
        <v>0</v>
      </c>
      <c r="J122" s="3"/>
      <c r="K122" s="3"/>
      <c r="L122" s="3" t="str">
        <f t="shared" si="7"/>
        <v>Zement</v>
      </c>
      <c r="M122" s="9">
        <f t="shared" si="10"/>
        <v>7683.24</v>
      </c>
      <c r="N122" s="9">
        <f t="shared" si="10"/>
        <v>7683.24</v>
      </c>
      <c r="O122" s="9">
        <f t="shared" si="10"/>
        <v>7683.24</v>
      </c>
      <c r="P122" s="3" t="s">
        <v>164</v>
      </c>
      <c r="Q122" s="3" t="b">
        <v>1</v>
      </c>
      <c r="R122" s="3"/>
      <c r="S122" s="3"/>
      <c r="T122" s="31" t="s">
        <v>33</v>
      </c>
      <c r="U122" s="52">
        <f t="shared" ref="U122:W127" si="12">U83</f>
        <v>460</v>
      </c>
      <c r="V122" s="52">
        <f t="shared" si="12"/>
        <v>460</v>
      </c>
      <c r="W122" s="52">
        <f t="shared" si="12"/>
        <v>460</v>
      </c>
      <c r="X122" s="3"/>
      <c r="Y122" s="3"/>
    </row>
    <row r="123" spans="2:27" ht="15.75" hidden="1" outlineLevel="1" x14ac:dyDescent="0.3">
      <c r="B123" s="3"/>
      <c r="C123" s="3"/>
      <c r="D123" s="3" t="str">
        <f t="shared" si="5"/>
        <v/>
      </c>
      <c r="E123" s="10" t="e">
        <f t="shared" si="6"/>
        <v>#N/A</v>
      </c>
      <c r="F123" s="10" t="e">
        <f t="shared" si="6"/>
        <v>#N/A</v>
      </c>
      <c r="G123" s="10" t="e">
        <f t="shared" si="6"/>
        <v>#N/A</v>
      </c>
      <c r="H123" s="3" t="s">
        <v>164</v>
      </c>
      <c r="I123" s="361" t="b">
        <v>0</v>
      </c>
      <c r="J123" s="3"/>
      <c r="K123" s="3"/>
      <c r="L123" s="3" t="str">
        <f t="shared" si="7"/>
        <v>Gesteinskörnungen (Zuschlagsstoffe)</v>
      </c>
      <c r="M123" s="9">
        <f t="shared" si="10"/>
        <v>387.03000000000003</v>
      </c>
      <c r="N123" s="9">
        <f t="shared" si="10"/>
        <v>387.03000000000003</v>
      </c>
      <c r="O123" s="9">
        <f t="shared" si="10"/>
        <v>387.03000000000003</v>
      </c>
      <c r="P123" s="3" t="s">
        <v>164</v>
      </c>
      <c r="Q123" s="3" t="b">
        <v>1</v>
      </c>
      <c r="R123" s="3"/>
      <c r="S123" s="3"/>
      <c r="T123" s="31" t="s">
        <v>34</v>
      </c>
      <c r="U123" s="52">
        <f t="shared" si="12"/>
        <v>129000</v>
      </c>
      <c r="V123" s="52">
        <f t="shared" si="12"/>
        <v>129000</v>
      </c>
      <c r="W123" s="52">
        <f t="shared" si="12"/>
        <v>129000</v>
      </c>
      <c r="X123" s="3"/>
      <c r="Y123" s="3"/>
    </row>
    <row r="124" spans="2:27" ht="15.75" hidden="1" outlineLevel="1" x14ac:dyDescent="0.3">
      <c r="B124" s="3"/>
      <c r="C124" s="3"/>
      <c r="D124" s="3" t="str">
        <f t="shared" si="5"/>
        <v/>
      </c>
      <c r="E124" s="10" t="e">
        <f t="shared" si="6"/>
        <v>#N/A</v>
      </c>
      <c r="F124" s="10" t="e">
        <f t="shared" si="6"/>
        <v>#N/A</v>
      </c>
      <c r="G124" s="10" t="e">
        <f t="shared" si="6"/>
        <v>#N/A</v>
      </c>
      <c r="H124" s="3" t="s">
        <v>164</v>
      </c>
      <c r="I124" s="361" t="b">
        <v>0</v>
      </c>
      <c r="J124" s="3"/>
      <c r="K124" s="3"/>
      <c r="L124" s="3" t="str">
        <f t="shared" si="7"/>
        <v>Farben</v>
      </c>
      <c r="M124" s="9">
        <f t="shared" si="10"/>
        <v>1040</v>
      </c>
      <c r="N124" s="9">
        <f t="shared" si="10"/>
        <v>1040</v>
      </c>
      <c r="O124" s="9">
        <f t="shared" si="10"/>
        <v>1040</v>
      </c>
      <c r="P124" s="3" t="s">
        <v>164</v>
      </c>
      <c r="Q124" s="3" t="b">
        <v>1</v>
      </c>
      <c r="R124" s="3"/>
      <c r="S124" s="3"/>
      <c r="T124" s="31" t="s">
        <v>125</v>
      </c>
      <c r="U124" s="52">
        <f t="shared" si="12"/>
        <v>0</v>
      </c>
      <c r="V124" s="52">
        <f t="shared" si="12"/>
        <v>0</v>
      </c>
      <c r="W124" s="52">
        <f t="shared" si="12"/>
        <v>0</v>
      </c>
      <c r="X124" s="3"/>
      <c r="Y124" s="3"/>
    </row>
    <row r="125" spans="2:27" ht="15.75" hidden="1" outlineLevel="1" x14ac:dyDescent="0.3">
      <c r="B125" s="3"/>
      <c r="C125" s="3"/>
      <c r="D125" s="3" t="str">
        <f t="shared" si="5"/>
        <v/>
      </c>
      <c r="E125" s="10" t="e">
        <f t="shared" si="6"/>
        <v>#N/A</v>
      </c>
      <c r="F125" s="10" t="e">
        <f t="shared" si="6"/>
        <v>#N/A</v>
      </c>
      <c r="G125" s="10" t="e">
        <f t="shared" si="6"/>
        <v>#N/A</v>
      </c>
      <c r="H125" s="3" t="s">
        <v>164</v>
      </c>
      <c r="I125" s="361" t="b">
        <v>0</v>
      </c>
      <c r="J125" s="3"/>
      <c r="K125" s="3"/>
      <c r="L125" s="3" t="str">
        <f t="shared" si="7"/>
        <v>Zusatzstoffe (Füllstoffe)</v>
      </c>
      <c r="M125" s="9">
        <f t="shared" si="10"/>
        <v>424.19999999999993</v>
      </c>
      <c r="N125" s="9">
        <f t="shared" si="10"/>
        <v>424.19999999999993</v>
      </c>
      <c r="O125" s="9">
        <f t="shared" si="10"/>
        <v>424.19999999999993</v>
      </c>
      <c r="P125" s="3" t="s">
        <v>164</v>
      </c>
      <c r="Q125" s="3" t="b">
        <v>1</v>
      </c>
      <c r="R125" s="3"/>
      <c r="S125" s="3"/>
      <c r="T125" s="31" t="s">
        <v>126</v>
      </c>
      <c r="U125" s="52">
        <f t="shared" si="12"/>
        <v>0</v>
      </c>
      <c r="V125" s="52">
        <f t="shared" si="12"/>
        <v>0</v>
      </c>
      <c r="W125" s="52">
        <f t="shared" si="12"/>
        <v>0</v>
      </c>
      <c r="X125" s="3"/>
      <c r="Y125" s="3"/>
    </row>
    <row r="126" spans="2:27" ht="15.75" hidden="1" outlineLevel="1" x14ac:dyDescent="0.3">
      <c r="B126" s="3"/>
      <c r="C126" s="3"/>
      <c r="D126" s="3" t="str">
        <f t="shared" si="5"/>
        <v>Diesel</v>
      </c>
      <c r="E126" s="10">
        <f t="shared" si="6"/>
        <v>95.691080159999984</v>
      </c>
      <c r="F126" s="10">
        <f t="shared" si="6"/>
        <v>91.43814326399999</v>
      </c>
      <c r="G126" s="10">
        <f>IF($I126,G87,NA())</f>
        <v>87.185206367999996</v>
      </c>
      <c r="H126" s="3" t="s">
        <v>164</v>
      </c>
      <c r="I126" s="361" t="b">
        <v>1</v>
      </c>
      <c r="J126" s="3"/>
      <c r="K126" s="3"/>
      <c r="L126" s="3" t="str">
        <f t="shared" si="7"/>
        <v>Zusatzmittel</v>
      </c>
      <c r="M126" s="9">
        <f t="shared" si="10"/>
        <v>185.55932668689491</v>
      </c>
      <c r="N126" s="9">
        <f t="shared" si="10"/>
        <v>185.55932668689491</v>
      </c>
      <c r="O126" s="9">
        <f t="shared" si="10"/>
        <v>185.55932668689491</v>
      </c>
      <c r="P126" s="3" t="s">
        <v>164</v>
      </c>
      <c r="Q126" s="3" t="b">
        <v>1</v>
      </c>
      <c r="R126" s="3"/>
      <c r="S126" s="3"/>
      <c r="T126" s="31" t="s">
        <v>127</v>
      </c>
      <c r="U126" s="52">
        <f t="shared" si="12"/>
        <v>0</v>
      </c>
      <c r="V126" s="52">
        <f t="shared" si="12"/>
        <v>0</v>
      </c>
      <c r="W126" s="52">
        <f t="shared" si="12"/>
        <v>0</v>
      </c>
      <c r="X126" s="3"/>
      <c r="Y126" s="3"/>
    </row>
    <row r="127" spans="2:27" ht="16.5" hidden="1" outlineLevel="1" thickBot="1" x14ac:dyDescent="0.35">
      <c r="B127" s="3"/>
      <c r="C127" s="3"/>
      <c r="D127" s="27" t="s">
        <v>70</v>
      </c>
      <c r="E127" s="33">
        <f>SUMIF($I$120:$I$126,"WAHR",E120:E126)</f>
        <v>95.691080159999984</v>
      </c>
      <c r="F127" s="33">
        <f>SUMIF($I$120:$I$126,"WAHR",F120:F126)</f>
        <v>91.43814326399999</v>
      </c>
      <c r="G127" s="33">
        <f>SUMIF($I$120:$I$126,"WAHR",G120:G126)</f>
        <v>87.185206367999996</v>
      </c>
      <c r="H127" s="27" t="s">
        <v>165</v>
      </c>
      <c r="I127" s="3"/>
      <c r="J127" s="3"/>
      <c r="K127" s="3"/>
      <c r="L127" s="3" t="str">
        <f t="shared" si="7"/>
        <v/>
      </c>
      <c r="M127" s="9" t="e">
        <f t="shared" si="10"/>
        <v>#N/A</v>
      </c>
      <c r="N127" s="9" t="e">
        <f t="shared" si="10"/>
        <v>#N/A</v>
      </c>
      <c r="O127" s="9" t="e">
        <f t="shared" si="10"/>
        <v>#N/A</v>
      </c>
      <c r="P127" s="3" t="s">
        <v>164</v>
      </c>
      <c r="Q127" s="3" t="b">
        <v>0</v>
      </c>
      <c r="R127" s="3"/>
      <c r="S127" s="3"/>
      <c r="T127" s="51" t="s">
        <v>35</v>
      </c>
      <c r="U127" s="53">
        <f t="shared" si="12"/>
        <v>40464.000000000007</v>
      </c>
      <c r="V127" s="54">
        <f t="shared" si="12"/>
        <v>38665.600000000006</v>
      </c>
      <c r="W127" s="54">
        <f t="shared" si="12"/>
        <v>36867.200000000004</v>
      </c>
      <c r="X127" s="3"/>
      <c r="Y127" s="3"/>
    </row>
    <row r="128" spans="2:27" ht="16.5" hidden="1" outlineLevel="1" thickTop="1" x14ac:dyDescent="0.3">
      <c r="B128" s="3"/>
      <c r="C128" s="3"/>
      <c r="D128" s="3"/>
      <c r="E128" s="3"/>
      <c r="F128" s="3"/>
      <c r="G128" s="3"/>
      <c r="H128" s="3"/>
      <c r="I128" s="3"/>
      <c r="J128" s="3"/>
      <c r="K128" s="3"/>
      <c r="L128" s="3" t="str">
        <f t="shared" si="7"/>
        <v/>
      </c>
      <c r="M128" s="9" t="e">
        <f t="shared" si="10"/>
        <v>#N/A</v>
      </c>
      <c r="N128" s="9" t="e">
        <f t="shared" si="10"/>
        <v>#N/A</v>
      </c>
      <c r="O128" s="9" t="e">
        <f t="shared" si="10"/>
        <v>#N/A</v>
      </c>
      <c r="P128" s="3" t="s">
        <v>164</v>
      </c>
      <c r="Q128" s="3" t="b">
        <v>0</v>
      </c>
      <c r="R128" s="3"/>
      <c r="S128" s="3"/>
      <c r="T128" s="8" t="str">
        <f>IF(X128,"CAPEX","")</f>
        <v>CAPEX</v>
      </c>
      <c r="U128" s="55">
        <f>IF($X128,U89,NA())</f>
        <v>0</v>
      </c>
      <c r="V128" s="55">
        <f t="shared" ref="V128:W130" si="13">IF($X128,V89,NA())</f>
        <v>72000</v>
      </c>
      <c r="W128" s="55">
        <f t="shared" si="13"/>
        <v>144000</v>
      </c>
      <c r="X128" s="361" t="b">
        <v>1</v>
      </c>
      <c r="Y128" s="3"/>
    </row>
    <row r="129" spans="2:25" ht="15.75" hidden="1" outlineLevel="1" x14ac:dyDescent="0.3">
      <c r="B129" s="3"/>
      <c r="C129" s="3"/>
      <c r="D129" s="3"/>
      <c r="E129" s="3"/>
      <c r="F129" s="3"/>
      <c r="G129" s="3"/>
      <c r="H129" s="3"/>
      <c r="I129" s="3"/>
      <c r="J129" s="3"/>
      <c r="K129" s="3"/>
      <c r="L129" s="3" t="str">
        <f t="shared" si="7"/>
        <v/>
      </c>
      <c r="M129" s="9" t="e">
        <f t="shared" si="10"/>
        <v>#N/A</v>
      </c>
      <c r="N129" s="9" t="e">
        <f t="shared" si="10"/>
        <v>#N/A</v>
      </c>
      <c r="O129" s="9" t="e">
        <f t="shared" si="10"/>
        <v>#N/A</v>
      </c>
      <c r="P129" s="3" t="s">
        <v>164</v>
      </c>
      <c r="Q129" s="3" t="b">
        <v>0</v>
      </c>
      <c r="R129" s="3"/>
      <c r="S129" s="3"/>
      <c r="T129" s="8" t="str">
        <f>IF(X129,"Zusätzliche jährliche Kosten","")</f>
        <v/>
      </c>
      <c r="U129" s="55" t="e">
        <f>IF($X129,U90,NA())</f>
        <v>#N/A</v>
      </c>
      <c r="V129" s="55" t="e">
        <f t="shared" si="13"/>
        <v>#N/A</v>
      </c>
      <c r="W129" s="55" t="e">
        <f t="shared" si="13"/>
        <v>#N/A</v>
      </c>
      <c r="X129" s="361" t="b">
        <v>0</v>
      </c>
      <c r="Y129" s="3"/>
    </row>
    <row r="130" spans="2:25" ht="15.75" hidden="1" outlineLevel="1" x14ac:dyDescent="0.3">
      <c r="B130" s="3"/>
      <c r="C130" s="3"/>
      <c r="D130" s="3"/>
      <c r="E130" s="3"/>
      <c r="F130" s="3"/>
      <c r="G130" s="3"/>
      <c r="H130" s="3"/>
      <c r="I130" s="3"/>
      <c r="J130" s="3"/>
      <c r="K130" s="3"/>
      <c r="L130" s="3" t="str">
        <f t="shared" si="7"/>
        <v>Verpackungsmaterial</v>
      </c>
      <c r="M130" s="9">
        <f t="shared" si="10"/>
        <v>161.20000000000002</v>
      </c>
      <c r="N130" s="9">
        <f t="shared" si="10"/>
        <v>161.20000000000002</v>
      </c>
      <c r="O130" s="9">
        <f t="shared" si="10"/>
        <v>161.20000000000002</v>
      </c>
      <c r="P130" s="3" t="s">
        <v>164</v>
      </c>
      <c r="Q130" s="3" t="b">
        <v>1</v>
      </c>
      <c r="R130" s="3"/>
      <c r="S130" s="3"/>
      <c r="T130" s="59" t="str">
        <f>IF(X130,"Einmalige Kosten","")</f>
        <v/>
      </c>
      <c r="U130" s="55" t="e">
        <f>IF($X130,U91,NA())</f>
        <v>#N/A</v>
      </c>
      <c r="V130" s="55" t="e">
        <f t="shared" si="13"/>
        <v>#N/A</v>
      </c>
      <c r="W130" s="55" t="e">
        <f t="shared" si="13"/>
        <v>#N/A</v>
      </c>
      <c r="X130" s="361" t="b">
        <v>0</v>
      </c>
      <c r="Y130" s="3"/>
    </row>
    <row r="131" spans="2:25" ht="15" hidden="1" outlineLevel="1" thickBot="1" x14ac:dyDescent="0.3">
      <c r="B131" s="3"/>
      <c r="C131" s="3"/>
      <c r="D131" s="3"/>
      <c r="E131" s="3"/>
      <c r="F131" s="3"/>
      <c r="G131" s="3"/>
      <c r="H131" s="3"/>
      <c r="I131" s="3"/>
      <c r="J131" s="3"/>
      <c r="K131" s="3"/>
      <c r="L131" s="27" t="s">
        <v>70</v>
      </c>
      <c r="M131" s="28">
        <f>SUMIF($Q$120:$Q$130,"WAHR",M120:M130)</f>
        <v>10520.568560446896</v>
      </c>
      <c r="N131" s="28">
        <f t="shared" ref="N131:O131" si="14">SUMIF($Q$120:$Q$130,"WAHR",N120:N130)</f>
        <v>10508.331896129081</v>
      </c>
      <c r="O131" s="28">
        <f t="shared" si="14"/>
        <v>10492.104782410945</v>
      </c>
      <c r="P131" s="27" t="s">
        <v>165</v>
      </c>
      <c r="Q131" s="3"/>
      <c r="R131" s="3"/>
      <c r="S131" s="3"/>
      <c r="T131" s="57" t="str">
        <f>IF(X131,"CO2-Kosten","")</f>
        <v>CO2-Kosten</v>
      </c>
      <c r="U131" s="58">
        <f>IF($X$131,SUMIF($X$132:$X$134,"WAHR",U132:U134),NA())</f>
        <v>272843.09601517254</v>
      </c>
      <c r="V131" s="58">
        <f t="shared" ref="V131:W131" si="15">IF($X$131,SUMIF($X$132:$X$134,"WAHR",V132:V134),NA())</f>
        <v>486849.97430434235</v>
      </c>
      <c r="W131" s="58">
        <f t="shared" si="15"/>
        <v>855427.34241513058</v>
      </c>
      <c r="X131" s="361" t="b">
        <v>1</v>
      </c>
      <c r="Y131" s="3"/>
    </row>
    <row r="132" spans="2:25" ht="16.5" hidden="1" outlineLevel="1" thickTop="1" x14ac:dyDescent="0.3">
      <c r="B132" s="3"/>
      <c r="C132" s="3"/>
      <c r="D132" s="3"/>
      <c r="E132" s="3"/>
      <c r="F132" s="3"/>
      <c r="G132" s="3"/>
      <c r="H132" s="3"/>
      <c r="I132" s="3"/>
      <c r="J132" s="3"/>
      <c r="K132" s="3"/>
      <c r="L132" s="3"/>
      <c r="M132" s="3"/>
      <c r="N132" s="3"/>
      <c r="O132" s="3"/>
      <c r="P132" s="3"/>
      <c r="Q132" s="3"/>
      <c r="R132" s="3"/>
      <c r="S132" s="3"/>
      <c r="T132" s="31" t="s">
        <v>157</v>
      </c>
      <c r="U132" s="52">
        <f>IF($X132,U93,NA())</f>
        <v>2665.0220039999999</v>
      </c>
      <c r="V132" s="52">
        <f t="shared" ref="V132:W132" si="16">IF($X132,V93,NA())</f>
        <v>4605.65744688</v>
      </c>
      <c r="W132" s="52">
        <f t="shared" si="16"/>
        <v>7847.6005094399998</v>
      </c>
      <c r="X132" s="361" t="b">
        <v>1</v>
      </c>
      <c r="Y132" s="3"/>
    </row>
    <row r="133" spans="2:25" ht="15.75" hidden="1" outlineLevel="1" x14ac:dyDescent="0.3">
      <c r="B133" s="3"/>
      <c r="C133" s="3"/>
      <c r="D133" s="3"/>
      <c r="E133" s="3"/>
      <c r="F133" s="3"/>
      <c r="G133" s="3"/>
      <c r="H133" s="3"/>
      <c r="I133" s="3"/>
      <c r="J133" s="3"/>
      <c r="K133" s="3"/>
      <c r="L133" s="3"/>
      <c r="M133" s="3"/>
      <c r="N133" s="3"/>
      <c r="O133" s="3"/>
      <c r="P133" s="3"/>
      <c r="Q133" s="3"/>
      <c r="R133" s="3"/>
      <c r="S133" s="3"/>
      <c r="T133" s="31" t="s">
        <v>158</v>
      </c>
      <c r="U133" s="52">
        <f t="shared" ref="U133:W134" si="17">IF($X133,U94,NA())</f>
        <v>7162.5</v>
      </c>
      <c r="V133" s="52">
        <f t="shared" si="17"/>
        <v>9366.9335316535035</v>
      </c>
      <c r="W133" s="52">
        <f t="shared" si="17"/>
        <v>8207.0073128147415</v>
      </c>
      <c r="X133" s="361" t="b">
        <v>1</v>
      </c>
      <c r="Y133" s="3"/>
    </row>
    <row r="134" spans="2:25" ht="15.75" hidden="1" outlineLevel="1" x14ac:dyDescent="0.3">
      <c r="B134" s="3"/>
      <c r="C134" s="3"/>
      <c r="D134" s="3"/>
      <c r="E134" s="3"/>
      <c r="F134" s="3"/>
      <c r="G134" s="3"/>
      <c r="H134" s="3"/>
      <c r="I134" s="3"/>
      <c r="J134" s="3"/>
      <c r="K134" s="3"/>
      <c r="L134" s="3"/>
      <c r="M134" s="3"/>
      <c r="N134" s="3"/>
      <c r="O134" s="3"/>
      <c r="P134" s="3"/>
      <c r="Q134" s="3"/>
      <c r="R134" s="3"/>
      <c r="S134" s="3"/>
      <c r="T134" s="31" t="s">
        <v>159</v>
      </c>
      <c r="U134" s="52">
        <f t="shared" si="17"/>
        <v>263015.57401117252</v>
      </c>
      <c r="V134" s="52">
        <f t="shared" si="17"/>
        <v>472877.38332580886</v>
      </c>
      <c r="W134" s="52">
        <f t="shared" si="17"/>
        <v>839372.73459287581</v>
      </c>
      <c r="X134" s="361" t="b">
        <v>1</v>
      </c>
      <c r="Y134" s="3"/>
    </row>
    <row r="135" spans="2:25" ht="13.5" hidden="1" outlineLevel="1" thickBot="1" x14ac:dyDescent="0.25">
      <c r="B135" s="3"/>
      <c r="C135" s="3"/>
      <c r="D135" s="102" t="str">
        <f>IF($G$16&gt;0,"Bitte den Handeingabewert 'Umstellung Dieselstapler' für 2030 und ggf. 2025 auch anpassen. Diese Werte dürfen nicht größer Ihrer Handeingabe 'Anzahl Dieselstapler im Werk' sein. Ansonsten ist die Berechnung fehlerhaft.","")</f>
        <v/>
      </c>
      <c r="E135" s="3"/>
      <c r="F135" s="3"/>
      <c r="G135" s="3"/>
      <c r="H135" s="3"/>
      <c r="I135" s="3"/>
      <c r="J135" s="3"/>
      <c r="K135" s="3"/>
      <c r="L135" s="3"/>
      <c r="M135" s="3"/>
      <c r="N135" s="3"/>
      <c r="O135" s="3"/>
      <c r="P135" s="3"/>
      <c r="Q135" s="3"/>
      <c r="R135" s="3"/>
      <c r="S135" s="3"/>
      <c r="T135" s="27" t="s">
        <v>70</v>
      </c>
      <c r="U135" s="56">
        <f>IF($X$131,U131,0)+IF($X$130,U130,0)+IF($X$129,U129,0)+IF($X$128,U128,0)+U120</f>
        <v>445512.09601517254</v>
      </c>
      <c r="V135" s="56">
        <f t="shared" ref="V135:W135" si="18">IF($X$131,V131,0)+IF($X$130,V130,0)+IF($X$129,V129,0)+IF($X$128,V128,0)+V120</f>
        <v>729720.57430434239</v>
      </c>
      <c r="W135" s="56">
        <f t="shared" si="18"/>
        <v>1168499.5424151307</v>
      </c>
      <c r="X135" s="3"/>
      <c r="Y135" s="3"/>
    </row>
    <row r="136" spans="2:25" ht="13.5" hidden="1" outlineLevel="1" thickTop="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hidden="1" outlineLevel="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hidden="1" outlineLevel="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hidden="1" outlineLevel="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hidden="1" outlineLevel="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2:25" hidden="1" outlineLevel="1"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2:25" hidden="1" outlineLevel="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2:25" hidden="1" outlineLevel="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2:25" collapsed="1" x14ac:dyDescent="0.2"/>
    <row r="146" spans="2:20" ht="15.75" hidden="1" outlineLevel="1" x14ac:dyDescent="0.25">
      <c r="B146" s="22"/>
      <c r="C146" s="22" t="s">
        <v>117</v>
      </c>
      <c r="D146" s="17"/>
      <c r="E146" s="17"/>
      <c r="F146" s="17"/>
      <c r="G146" s="17"/>
      <c r="H146" s="17"/>
      <c r="I146" s="17"/>
      <c r="J146" s="17"/>
      <c r="K146" s="17"/>
      <c r="L146" s="17"/>
      <c r="N146" s="22" t="s">
        <v>120</v>
      </c>
      <c r="O146" s="17"/>
      <c r="P146" s="17"/>
      <c r="Q146" s="17"/>
      <c r="R146" s="17"/>
      <c r="S146" s="17"/>
      <c r="T146" s="17"/>
    </row>
    <row r="147" spans="2:20" ht="15" hidden="1" outlineLevel="1" x14ac:dyDescent="0.25">
      <c r="B147" s="64"/>
      <c r="C147" s="64">
        <v>2025</v>
      </c>
      <c r="D147" s="17"/>
      <c r="E147" s="17"/>
      <c r="F147" s="17"/>
      <c r="G147" s="17"/>
      <c r="H147" s="17"/>
      <c r="I147" s="17"/>
      <c r="J147" s="17"/>
      <c r="K147" s="17"/>
      <c r="L147" s="17"/>
      <c r="N147" s="64">
        <v>2025</v>
      </c>
      <c r="O147" s="17"/>
      <c r="P147" s="17"/>
      <c r="Q147" s="17"/>
      <c r="R147" s="17"/>
      <c r="S147" s="17"/>
      <c r="T147" s="17"/>
    </row>
    <row r="148" spans="2:20" ht="15" hidden="1" outlineLevel="1" x14ac:dyDescent="0.25">
      <c r="B148" s="64"/>
      <c r="C148" s="17"/>
      <c r="D148" s="17" t="s">
        <v>231</v>
      </c>
      <c r="E148" s="42">
        <f>IF(NOT(ISBLANK(G23)),G23,E23)</f>
        <v>5</v>
      </c>
      <c r="F148" s="17"/>
      <c r="G148" s="17"/>
      <c r="H148" s="17"/>
      <c r="I148" s="17"/>
      <c r="J148" s="17"/>
      <c r="K148" s="17"/>
      <c r="L148" s="17"/>
      <c r="N148" s="21"/>
      <c r="O148" s="17"/>
      <c r="P148" s="17"/>
      <c r="Q148" s="17"/>
      <c r="R148" s="17"/>
      <c r="S148" s="17"/>
      <c r="T148" s="17"/>
    </row>
    <row r="149" spans="2:20" ht="15" hidden="1" outlineLevel="1" x14ac:dyDescent="0.25">
      <c r="B149" s="64"/>
      <c r="C149" s="17"/>
      <c r="D149" s="17" t="s">
        <v>236</v>
      </c>
      <c r="E149" s="42">
        <f>E148*($E$17-$E$25)</f>
        <v>1600</v>
      </c>
      <c r="F149" s="20" t="s">
        <v>237</v>
      </c>
      <c r="G149" s="20"/>
      <c r="H149" s="20"/>
      <c r="I149" s="17"/>
      <c r="J149" s="17"/>
      <c r="K149" s="17"/>
      <c r="L149" s="17"/>
      <c r="N149" s="17"/>
      <c r="O149" s="17"/>
      <c r="P149" s="17"/>
      <c r="Q149" s="17"/>
      <c r="R149" s="17"/>
      <c r="S149" s="17"/>
      <c r="T149" s="17"/>
    </row>
    <row r="150" spans="2:20" hidden="1" outlineLevel="1" x14ac:dyDescent="0.2">
      <c r="B150" s="17"/>
      <c r="C150" s="17"/>
      <c r="D150" s="17"/>
      <c r="E150" s="17"/>
      <c r="F150" s="20"/>
      <c r="G150" s="20"/>
      <c r="H150" s="20"/>
      <c r="I150" s="17"/>
      <c r="J150" s="17"/>
      <c r="K150" s="17"/>
      <c r="L150" s="17"/>
      <c r="N150" s="17"/>
      <c r="O150" s="17"/>
      <c r="P150" s="17"/>
      <c r="Q150" s="17"/>
      <c r="R150" s="17"/>
      <c r="S150" s="17"/>
      <c r="T150" s="17"/>
    </row>
    <row r="151" spans="2:20" ht="25.5" hidden="1" outlineLevel="1" x14ac:dyDescent="0.2">
      <c r="B151" s="17"/>
      <c r="C151" s="17"/>
      <c r="D151" s="17"/>
      <c r="E151" s="17"/>
      <c r="F151" s="36" t="s">
        <v>27</v>
      </c>
      <c r="G151" s="36" t="s">
        <v>85</v>
      </c>
      <c r="H151" s="36" t="s">
        <v>29</v>
      </c>
      <c r="I151" s="17"/>
      <c r="J151" s="40" t="s">
        <v>114</v>
      </c>
      <c r="K151" s="41" t="s">
        <v>40</v>
      </c>
      <c r="L151" s="17"/>
      <c r="N151" s="17"/>
      <c r="O151" s="17"/>
      <c r="P151" s="17"/>
      <c r="Q151" s="18"/>
      <c r="R151" s="18"/>
      <c r="S151" s="18"/>
      <c r="T151" s="18"/>
    </row>
    <row r="152" spans="2:20" ht="14.25" hidden="1" outlineLevel="1" x14ac:dyDescent="0.25">
      <c r="B152" s="76"/>
      <c r="C152" s="76" t="s">
        <v>191</v>
      </c>
      <c r="D152" s="76"/>
      <c r="E152" s="76"/>
      <c r="F152" s="77">
        <f>SUM(F154:F167)</f>
        <v>102.34794326399999</v>
      </c>
      <c r="G152" s="77">
        <f t="shared" ref="G152:H152" si="19">SUM(G154:G167)</f>
        <v>208.15407848118898</v>
      </c>
      <c r="H152" s="77">
        <f t="shared" si="19"/>
        <v>48.476308242184778</v>
      </c>
      <c r="I152" s="76"/>
      <c r="J152" s="77">
        <f>F152+G152</f>
        <v>310.50202174518898</v>
      </c>
      <c r="K152" s="77">
        <f>SUM(F152:H152)</f>
        <v>358.97832998737374</v>
      </c>
      <c r="L152" s="76" t="s">
        <v>198</v>
      </c>
      <c r="N152" s="17"/>
      <c r="O152" s="17"/>
      <c r="P152" s="17"/>
      <c r="Q152" s="18"/>
      <c r="R152" s="18"/>
      <c r="S152" s="18"/>
      <c r="T152" s="18"/>
    </row>
    <row r="153" spans="2:20" hidden="1" outlineLevel="1" x14ac:dyDescent="0.2">
      <c r="B153" s="303"/>
      <c r="C153" s="17" t="s">
        <v>148</v>
      </c>
      <c r="D153" s="17"/>
      <c r="E153" s="17"/>
      <c r="F153" s="17"/>
      <c r="G153" s="17"/>
      <c r="H153" s="17"/>
      <c r="I153" s="17"/>
      <c r="J153" s="17"/>
      <c r="K153" s="17"/>
      <c r="L153" s="17"/>
      <c r="N153" s="17" t="s">
        <v>148</v>
      </c>
      <c r="O153" s="17"/>
      <c r="P153" s="17"/>
      <c r="Q153" s="18"/>
      <c r="R153" s="18"/>
      <c r="S153" s="18"/>
      <c r="T153" s="18"/>
    </row>
    <row r="154" spans="2:20" ht="15.75" hidden="1" outlineLevel="1" x14ac:dyDescent="0.3">
      <c r="B154" s="303"/>
      <c r="C154" s="17"/>
      <c r="D154" s="17" t="s">
        <v>128</v>
      </c>
      <c r="E154" s="17"/>
      <c r="F154" s="38">
        <f>IF(NOT(ISBLANK('Referenz Pflasterwerk'!$I16)),'Referenz Pflasterwerk'!$I16,'Referenz Pflasterwerk'!$F16)*IF(NOT(ISBLANK('Eingabe EF'!$AA9)),'Eingabe EF'!$AA9,'Eingabe EF'!$Y9)</f>
        <v>1.6484399999999999</v>
      </c>
      <c r="G154" s="38">
        <f>IF(NOT(ISBLANK('Referenz Pflasterwerk'!$I16)),'Referenz Pflasterwerk'!$I16,'Referenz Pflasterwerk'!$F16)*IF(NOT(ISBLANK('Eingabe EF'!$AE9)),'Eingabe EF'!$AE9,'Eingabe EF'!$AC9)</f>
        <v>0</v>
      </c>
      <c r="H154" s="38">
        <f>IF(NOT(ISBLANK('Referenz Pflasterwerk'!$I16)),'Referenz Pflasterwerk'!$I16,'Referenz Pflasterwerk'!$F16)*IF(NOT(ISBLANK('Eingabe EF'!$AI9)),'Eingabe EF'!$AI9,'Eingabe EF'!$AG9)</f>
        <v>0.28215000000000001</v>
      </c>
      <c r="I154" s="17"/>
      <c r="J154" s="38">
        <f>F154+G154</f>
        <v>1.6484399999999999</v>
      </c>
      <c r="K154" s="38">
        <f>SUM(F154:H154)</f>
        <v>1.93059</v>
      </c>
      <c r="L154" s="17" t="s">
        <v>199</v>
      </c>
      <c r="N154" s="17"/>
      <c r="O154" s="17" t="s">
        <v>128</v>
      </c>
      <c r="P154" s="17"/>
      <c r="Q154" s="19"/>
      <c r="R154" s="20"/>
      <c r="S154" s="42">
        <f>IF(NOT(ISBLANK('Referenz Pflasterwerk'!$I16)),'Referenz Pflasterwerk'!$I16,'Referenz Pflasterwerk'!$F16)/1000*IF(NOT(ISBLANK('Eingabe Preise'!$K10)),'Eingabe Preise'!$K10,'Eingabe Preise'!$I10)</f>
        <v>549</v>
      </c>
      <c r="T154" s="20" t="s">
        <v>109</v>
      </c>
    </row>
    <row r="155" spans="2:20" ht="15.75" hidden="1" outlineLevel="1" x14ac:dyDescent="0.3">
      <c r="B155" s="303"/>
      <c r="C155" s="17"/>
      <c r="D155" s="17" t="s">
        <v>166</v>
      </c>
      <c r="E155" s="17"/>
      <c r="F155" s="38">
        <f>IF(NOT(ISBLANK('Referenz Pflasterwerk'!$I17)),'Referenz Pflasterwerk'!$I17,'Referenz Pflasterwerk'!$F17)*IF(NOT(ISBLANK('Eingabe EF'!$AA10)),'Eingabe EF'!$AA10,'Eingabe EF'!$Y10)</f>
        <v>0.53351999999999999</v>
      </c>
      <c r="G155" s="38">
        <f>IF(NOT(ISBLANK('Referenz Pflasterwerk'!$I17)),'Referenz Pflasterwerk'!$I17,'Referenz Pflasterwerk'!$F17)*IF(NOT(ISBLANK('Eingabe EF'!$AE10)),'Eingabe EF'!$AE10,'Eingabe EF'!$AC10)</f>
        <v>0</v>
      </c>
      <c r="H155" s="38">
        <f>IF(NOT(ISBLANK('Referenz Pflasterwerk'!$I17)),'Referenz Pflasterwerk'!$I17,'Referenz Pflasterwerk'!$F17)*IF(NOT(ISBLANK('Eingabe EF'!$AI10)),'Eingabe EF'!$AI10,'Eingabe EF'!$AG10)</f>
        <v>7.9152E-2</v>
      </c>
      <c r="I155" s="17"/>
      <c r="J155" s="38">
        <f>F155+G155</f>
        <v>0.53351999999999999</v>
      </c>
      <c r="K155" s="38">
        <f>SUM(F155:H155)</f>
        <v>0.61267199999999999</v>
      </c>
      <c r="L155" s="17" t="s">
        <v>199</v>
      </c>
      <c r="N155" s="17"/>
      <c r="O155" s="17" t="s">
        <v>166</v>
      </c>
      <c r="P155" s="17"/>
      <c r="Q155" s="20"/>
      <c r="R155" s="20"/>
      <c r="S155" s="42">
        <f>IF(NOT(ISBLANK('Referenz Pflasterwerk'!$I17)),'Referenz Pflasterwerk'!$I17,'Referenz Pflasterwerk'!$F17)/1000*IF(NOT(ISBLANK('Eingabe Preise'!$K11)),'Eingabe Preise'!$K11,'Eingabe Preise'!$I11)</f>
        <v>92</v>
      </c>
      <c r="T155" s="20" t="s">
        <v>109</v>
      </c>
    </row>
    <row r="156" spans="2:20" ht="15.75" hidden="1" outlineLevel="1" x14ac:dyDescent="0.3">
      <c r="B156" s="303"/>
      <c r="C156" s="17"/>
      <c r="D156" s="17" t="s">
        <v>167</v>
      </c>
      <c r="E156" s="17"/>
      <c r="F156" s="38">
        <f>IF(NOT(ISBLANK('Referenz Pflasterwerk'!$I18)),'Referenz Pflasterwerk'!$I18,'Referenz Pflasterwerk'!$F18)*IF(NOT(ISBLANK('Eingabe EF'!$AA11)),'Eingabe EF'!$AA11,'Eingabe EF'!$Y11)</f>
        <v>0</v>
      </c>
      <c r="G156" s="38">
        <f>IF(NOT(ISBLANK('Referenz Pflasterwerk'!$I18)),'Referenz Pflasterwerk'!$I18,'Referenz Pflasterwerk'!$F18)*IF(NOT(ISBLANK('Eingabe EF'!$AE11)),'Eingabe EF'!$AE11,'Eingabe EF'!$AC11)</f>
        <v>41.630815696237796</v>
      </c>
      <c r="H156" s="38">
        <f>IF(NOT(ISBLANK('Referenz Pflasterwerk'!$I18)),'Referenz Pflasterwerk'!$I18,'Referenz Pflasterwerk'!$F18)*IF(NOT(ISBLANK('Eingabe EF'!$AI11)),'Eingabe EF'!$AI11,'Eingabe EF'!$AG11)</f>
        <v>6.1029468036369554</v>
      </c>
      <c r="I156" s="17"/>
      <c r="J156" s="38">
        <f>F156+G156</f>
        <v>41.630815696237796</v>
      </c>
      <c r="K156" s="38">
        <f>SUM(F156:H156)</f>
        <v>47.73376249987475</v>
      </c>
      <c r="L156" s="17" t="s">
        <v>199</v>
      </c>
      <c r="N156" s="17"/>
      <c r="O156" s="17" t="s">
        <v>167</v>
      </c>
      <c r="P156" s="17"/>
      <c r="Q156" s="20"/>
      <c r="R156" s="20"/>
      <c r="S156" s="42">
        <f>IF(NOT(ISBLANK('Referenz Pflasterwerk'!$I18)),'Referenz Pflasterwerk'!$I18,'Referenz Pflasterwerk'!$F18)/1000*IF(NOT(ISBLANK('Eingabe Preise'!$K12)),'Eingabe Preise'!$K12,'Eingabe Preise'!$I12)</f>
        <v>25800</v>
      </c>
      <c r="T156" s="20" t="s">
        <v>109</v>
      </c>
    </row>
    <row r="157" spans="2:20" ht="15.75" hidden="1" outlineLevel="1" x14ac:dyDescent="0.3">
      <c r="B157" s="303"/>
      <c r="C157" s="17"/>
      <c r="D157" s="17" t="s">
        <v>129</v>
      </c>
      <c r="E157" s="17"/>
      <c r="F157" s="44">
        <f>IF(NOT(ISBLANK('Referenz Pflasterwerk'!$I19)),'Referenz Pflasterwerk'!$I19,'Referenz Pflasterwerk'!$F19)*IF(NOT(ISBLANK('Eingabe EF'!$AA12)),'Eingabe EF'!$AA12,0)</f>
        <v>0</v>
      </c>
      <c r="G157" s="44">
        <f>IF(NOT(ISBLANK('Referenz Pflasterwerk'!$I19)),'Referenz Pflasterwerk'!$I19,'Referenz Pflasterwerk'!$F19)*IF(NOT(ISBLANK('Eingabe EF'!$AE12)),'Eingabe EF'!$AE12,0)</f>
        <v>0</v>
      </c>
      <c r="H157" s="44">
        <f>IF(NOT(ISBLANK('Referenz Pflasterwerk'!$I19)),'Referenz Pflasterwerk'!$I19,'Referenz Pflasterwerk'!$F19)*IF(NOT(ISBLANK('Eingabe EF'!$AI12)),'Eingabe EF'!$AI12,0)</f>
        <v>0</v>
      </c>
      <c r="I157" s="17"/>
      <c r="J157" s="38">
        <f>F157+G157</f>
        <v>0</v>
      </c>
      <c r="K157" s="38">
        <f>SUM(F157:H157)</f>
        <v>0</v>
      </c>
      <c r="L157" s="17" t="s">
        <v>199</v>
      </c>
      <c r="N157" s="17"/>
      <c r="O157" s="17" t="s">
        <v>129</v>
      </c>
      <c r="P157" s="17"/>
      <c r="Q157" s="20"/>
      <c r="R157" s="20"/>
      <c r="S157" s="42">
        <f>IF(NOT(ISBLANK('Referenz Pflasterwerk'!$I19)),'Referenz Pflasterwerk'!$I19,'Referenz Pflasterwerk'!$F19)/1000*IF(NOT(ISBLANK('Eingabe Preise'!$K16)),'Eingabe Preise'!$K16,0)</f>
        <v>0</v>
      </c>
      <c r="T157" s="20" t="s">
        <v>109</v>
      </c>
    </row>
    <row r="158" spans="2:20" hidden="1" outlineLevel="1" x14ac:dyDescent="0.2">
      <c r="B158" s="303"/>
      <c r="C158" s="17" t="s">
        <v>149</v>
      </c>
      <c r="D158" s="17"/>
      <c r="E158" s="17"/>
      <c r="F158" s="20"/>
      <c r="G158" s="20"/>
      <c r="H158" s="20"/>
      <c r="I158" s="17"/>
      <c r="J158" s="17"/>
      <c r="K158" s="17"/>
      <c r="L158" s="17"/>
      <c r="N158" s="17" t="s">
        <v>149</v>
      </c>
      <c r="O158" s="17"/>
      <c r="P158" s="17"/>
      <c r="Q158" s="20"/>
      <c r="R158" s="20"/>
      <c r="S158" s="20"/>
      <c r="T158" s="20"/>
    </row>
    <row r="159" spans="2:20" ht="15.75" hidden="1" outlineLevel="1" x14ac:dyDescent="0.3">
      <c r="B159" s="303"/>
      <c r="C159" s="17"/>
      <c r="D159" s="17" t="s">
        <v>32</v>
      </c>
      <c r="E159" s="17"/>
      <c r="F159" s="38">
        <f>IF(NOT(ISBLANK('Referenz Pflasterwerk'!$I21)),'Referenz Pflasterwerk'!$I21,'Referenz Pflasterwerk'!$F21)*IF(NOT(ISBLANK('Eingabe EF'!$AA9)),'Eingabe EF'!$AA9,'Eingabe EF'!$Y9)</f>
        <v>6.5937599999999996</v>
      </c>
      <c r="G159" s="38">
        <f>IF(NOT(ISBLANK('Referenz Pflasterwerk'!$I21)),'Referenz Pflasterwerk'!$I21,'Referenz Pflasterwerk'!$F21)*IF(NOT(ISBLANK('Eingabe EF'!$AE9)),'Eingabe EF'!$AE9,'Eingabe EF'!$AC9)</f>
        <v>0</v>
      </c>
      <c r="H159" s="38">
        <f>IF(NOT(ISBLANK('Referenz Pflasterwerk'!$I21)),'Referenz Pflasterwerk'!$I21,'Referenz Pflasterwerk'!$F21)*IF(NOT(ISBLANK('Eingabe EF'!$AG9)),'Eingabe EF'!$AG9,'Eingabe EF'!$AIC9)</f>
        <v>1.1286</v>
      </c>
      <c r="I159" s="17"/>
      <c r="J159" s="38">
        <f t="shared" ref="J159:J160" si="20">F159+G159</f>
        <v>6.5937599999999996</v>
      </c>
      <c r="K159" s="38">
        <f t="shared" ref="K159:K170" si="21">SUM(F159:H159)</f>
        <v>7.7223600000000001</v>
      </c>
      <c r="L159" s="17" t="s">
        <v>199</v>
      </c>
      <c r="M159" s="43"/>
      <c r="N159" s="17"/>
      <c r="O159" s="17" t="s">
        <v>32</v>
      </c>
      <c r="P159" s="17"/>
      <c r="Q159" s="20"/>
      <c r="R159" s="20"/>
      <c r="S159" s="42">
        <f>IF(NOT(ISBLANK('Referenz Pflasterwerk'!$I21)),'Referenz Pflasterwerk'!$I21,'Referenz Pflasterwerk'!$F21)/1000*IF(NOT(ISBLANK('Eingabe Preise'!$K10)),'Eingabe Preise'!$K10,'Eingabe Preise'!$I10)</f>
        <v>2196</v>
      </c>
      <c r="T159" s="20" t="s">
        <v>109</v>
      </c>
    </row>
    <row r="160" spans="2:20" ht="15.75" hidden="1" outlineLevel="1" x14ac:dyDescent="0.3">
      <c r="B160" s="303"/>
      <c r="C160" s="17"/>
      <c r="D160" s="17" t="s">
        <v>33</v>
      </c>
      <c r="E160" s="17"/>
      <c r="F160" s="38">
        <f>IF(NOT(ISBLANK('Referenz Pflasterwerk'!$I22)),'Referenz Pflasterwerk'!$I22,'Referenz Pflasterwerk'!$F22)*IF(NOT(ISBLANK('Eingabe EF'!$AA10)),'Eingabe EF'!$AA10,'Eingabe EF'!$Y10)</f>
        <v>2.13408</v>
      </c>
      <c r="G160" s="38">
        <f>IF(NOT(ISBLANK('Referenz Pflasterwerk'!$I22)),'Referenz Pflasterwerk'!$I22,'Referenz Pflasterwerk'!$F22)*IF(NOT(ISBLANK('Eingabe EF'!$AE10)),'Eingabe EF'!$AE10,'Eingabe EF'!$AC10)</f>
        <v>0</v>
      </c>
      <c r="H160" s="38">
        <f>IF(NOT(ISBLANK('Referenz Pflasterwerk'!$I22)),'Referenz Pflasterwerk'!$I22,'Referenz Pflasterwerk'!$F22)*IF(NOT(ISBLANK('Eingabe EF'!$AG10)),'Eingabe EF'!$AG10,'Eingabe EF'!$AIC10)</f>
        <v>0.316608</v>
      </c>
      <c r="I160" s="17"/>
      <c r="J160" s="38">
        <f t="shared" si="20"/>
        <v>2.13408</v>
      </c>
      <c r="K160" s="38">
        <f t="shared" si="21"/>
        <v>2.450688</v>
      </c>
      <c r="L160" s="17" t="s">
        <v>199</v>
      </c>
      <c r="M160" s="43"/>
      <c r="N160" s="17"/>
      <c r="O160" s="17" t="s">
        <v>33</v>
      </c>
      <c r="P160" s="17"/>
      <c r="Q160" s="20"/>
      <c r="R160" s="20"/>
      <c r="S160" s="42">
        <f>IF(NOT(ISBLANK('Referenz Pflasterwerk'!$I22)),'Referenz Pflasterwerk'!$I22,'Referenz Pflasterwerk'!$F22)/1000*IF(NOT(ISBLANK('Eingabe Preise'!$K11)),'Eingabe Preise'!$K11,'Eingabe Preise'!$I11)</f>
        <v>368</v>
      </c>
      <c r="T160" s="20" t="s">
        <v>109</v>
      </c>
    </row>
    <row r="161" spans="2:21" hidden="1" outlineLevel="1" x14ac:dyDescent="0.2">
      <c r="B161" s="303"/>
      <c r="C161" s="17" t="s">
        <v>150</v>
      </c>
      <c r="D161" s="17"/>
      <c r="E161" s="17"/>
      <c r="F161" s="20"/>
      <c r="G161" s="20"/>
      <c r="H161" s="20"/>
      <c r="I161" s="17"/>
      <c r="J161" s="17"/>
      <c r="K161" s="17"/>
      <c r="L161" s="17"/>
      <c r="N161" s="17" t="s">
        <v>150</v>
      </c>
      <c r="O161" s="17"/>
      <c r="P161" s="17"/>
      <c r="Q161" s="20"/>
      <c r="R161" s="20"/>
      <c r="S161" s="20"/>
      <c r="T161" s="20"/>
    </row>
    <row r="162" spans="2:21" ht="15.75" hidden="1" outlineLevel="1" x14ac:dyDescent="0.3">
      <c r="B162" s="304"/>
      <c r="C162" s="17"/>
      <c r="D162" s="17" t="s">
        <v>152</v>
      </c>
      <c r="E162" s="17"/>
      <c r="F162" s="38">
        <f>IF(NOT(ISBLANK('Referenz Pflasterwerk'!$I24)),'Referenz Pflasterwerk'!$I24,'Referenz Pflasterwerk'!$F24)*IF(NOT(ISBLANK('Eingabe EF'!$AA11)),'Eingabe EF'!$AA11,'Eingabe EF'!$Y11)</f>
        <v>0</v>
      </c>
      <c r="G162" s="38">
        <f>IF(NOT(ISBLANK('Referenz Pflasterwerk'!$I24)),'Referenz Pflasterwerk'!$I24,'Referenz Pflasterwerk'!$F24)*IF(NOT(ISBLANK('Eingabe EF'!$AE11)),'Eingabe EF'!$AE11,'Eingabe EF'!$AC11)</f>
        <v>166.52326278495119</v>
      </c>
      <c r="H162" s="38">
        <f>IF(NOT(ISBLANK('Referenz Pflasterwerk'!$I24)),'Referenz Pflasterwerk'!$I24,'Referenz Pflasterwerk'!$F24)*IF(NOT(ISBLANK('Eingabe EF'!$AI11)),'Eingabe EF'!$AI11,'Eingabe EF'!$AG11)</f>
        <v>24.411787214547822</v>
      </c>
      <c r="I162" s="17"/>
      <c r="J162" s="38">
        <f t="shared" ref="J162:J170" si="22">F162+G162</f>
        <v>166.52326278495119</v>
      </c>
      <c r="K162" s="38">
        <f t="shared" si="21"/>
        <v>190.935049999499</v>
      </c>
      <c r="L162" s="17" t="s">
        <v>199</v>
      </c>
      <c r="M162" s="43"/>
      <c r="N162" s="304"/>
      <c r="O162" s="17" t="s">
        <v>168</v>
      </c>
      <c r="P162" s="17"/>
      <c r="Q162" s="20"/>
      <c r="R162" s="20"/>
      <c r="S162" s="42">
        <f>IF(NOT(ISBLANK('Referenz Pflasterwerk'!$I24)),'Referenz Pflasterwerk'!$I24,'Referenz Pflasterwerk'!$F24)/1000*IF(NOT(ISBLANK('Eingabe Preise'!$K12)),'Eingabe Preise'!$K12,'Eingabe Preise'!$I12)</f>
        <v>103200</v>
      </c>
      <c r="T162" s="20" t="s">
        <v>109</v>
      </c>
    </row>
    <row r="163" spans="2:21" ht="15.75" hidden="1" outlineLevel="1" x14ac:dyDescent="0.3">
      <c r="B163" s="303"/>
      <c r="C163" s="17"/>
      <c r="D163" s="17" t="s">
        <v>125</v>
      </c>
      <c r="E163" s="17"/>
      <c r="F163" s="38">
        <f>IF(NOT(ISBLANK('Referenz Pflasterwerk'!$I25)),'Referenz Pflasterwerk'!$I25,'Referenz Pflasterwerk'!$F25)*IF(NOT(ISBLANK('Eingabe EF'!$AA13)),'Eingabe EF'!$AA13,'Eingabe EF'!$Y13)</f>
        <v>0</v>
      </c>
      <c r="G163" s="38">
        <f>IF(NOT(ISBLANK('Referenz Pflasterwerk'!$I25)),'Referenz Pflasterwerk'!$I25,'Referenz Pflasterwerk'!$F25)*IF(NOT(ISBLANK('Eingabe EF'!$AE13)),'Eingabe EF'!$AE13,'Eingabe EF'!$AC13)</f>
        <v>0</v>
      </c>
      <c r="H163" s="38">
        <f>IF(NOT(ISBLANK('Referenz Pflasterwerk'!$I25)),'Referenz Pflasterwerk'!$I25,'Referenz Pflasterwerk'!$F25)*IF(NOT(ISBLANK('Eingabe EF'!$AI13)),'Eingabe EF'!$AI13,'Eingabe EF'!$AG13)</f>
        <v>0</v>
      </c>
      <c r="I163" s="17"/>
      <c r="J163" s="38">
        <f t="shared" si="22"/>
        <v>0</v>
      </c>
      <c r="K163" s="38">
        <f t="shared" si="21"/>
        <v>0</v>
      </c>
      <c r="L163" s="17" t="s">
        <v>199</v>
      </c>
      <c r="M163" s="43"/>
      <c r="N163" s="17"/>
      <c r="O163" s="17" t="s">
        <v>125</v>
      </c>
      <c r="P163" s="17"/>
      <c r="Q163" s="20"/>
      <c r="R163" s="20"/>
      <c r="S163" s="42">
        <f>IF(NOT(ISBLANK('Referenz Pflasterwerk'!$I25)),'Referenz Pflasterwerk'!$I25,'Referenz Pflasterwerk'!$F25)/1000*IF(NOT(ISBLANK('Eingabe Preise'!$K13)),'Eingabe Preise'!$K13,'Eingabe Preise'!$I13)</f>
        <v>0</v>
      </c>
      <c r="T163" s="20" t="s">
        <v>109</v>
      </c>
    </row>
    <row r="164" spans="2:21" ht="15.75" hidden="1" outlineLevel="1" x14ac:dyDescent="0.3">
      <c r="B164" s="303"/>
      <c r="C164" s="17"/>
      <c r="D164" s="17" t="s">
        <v>151</v>
      </c>
      <c r="E164" s="17"/>
      <c r="F164" s="38">
        <f>IF(NOT(ISBLANK('Referenz Pflasterwerk'!$I26)),'Referenz Pflasterwerk'!$I26,'Referenz Pflasterwerk'!$F26)*IF(NOT(ISBLANK('Eingabe EF'!$AA14)),'Eingabe EF'!$AA14,0)</f>
        <v>0</v>
      </c>
      <c r="G164" s="38">
        <f>IF(NOT(ISBLANK('Referenz Pflasterwerk'!$I26)),'Referenz Pflasterwerk'!$I26,'Referenz Pflasterwerk'!$F26)*IF(NOT(ISBLANK('Eingabe EF'!$AE14)),'Eingabe EF'!$AE14,0)</f>
        <v>0</v>
      </c>
      <c r="H164" s="38">
        <f>IF(NOT(ISBLANK('Referenz Pflasterwerk'!$I26)),'Referenz Pflasterwerk'!$I26,'Referenz Pflasterwerk'!$F26)*IF(NOT(ISBLANK('Eingabe EF'!$AI14)),'Eingabe EF'!$AI14,0)</f>
        <v>0</v>
      </c>
      <c r="I164" s="17"/>
      <c r="J164" s="38">
        <f t="shared" si="22"/>
        <v>0</v>
      </c>
      <c r="K164" s="38">
        <f t="shared" si="21"/>
        <v>0</v>
      </c>
      <c r="L164" s="17" t="s">
        <v>199</v>
      </c>
      <c r="M164" s="43"/>
      <c r="N164" s="17"/>
      <c r="O164" s="17" t="s">
        <v>151</v>
      </c>
      <c r="P164" s="17"/>
      <c r="Q164" s="30"/>
      <c r="R164" s="17"/>
      <c r="S164" s="42">
        <f>IF(NOT(ISBLANK('Referenz Pflasterwerk'!$I26)),'Referenz Pflasterwerk'!$I26,'Referenz Pflasterwerk'!$F26)/1000*IF(NOT(ISBLANK('Eingabe Preise'!$K17)),'Eingabe Preise'!$K17,0)</f>
        <v>0</v>
      </c>
      <c r="T164" s="20" t="s">
        <v>109</v>
      </c>
    </row>
    <row r="165" spans="2:21" hidden="1" outlineLevel="1" x14ac:dyDescent="0.2">
      <c r="B165" s="303"/>
      <c r="C165" s="17"/>
      <c r="D165" s="17"/>
      <c r="E165" s="17"/>
      <c r="F165" s="20"/>
      <c r="G165" s="20"/>
      <c r="H165" s="20"/>
      <c r="I165" s="17"/>
      <c r="J165" s="17"/>
      <c r="K165" s="17"/>
      <c r="L165" s="17"/>
      <c r="N165" s="17"/>
      <c r="O165" s="17"/>
      <c r="P165" s="17"/>
      <c r="Q165" s="30"/>
      <c r="R165" s="17"/>
      <c r="S165" s="17"/>
      <c r="T165" s="17"/>
    </row>
    <row r="166" spans="2:21" ht="15.75" hidden="1" outlineLevel="1" x14ac:dyDescent="0.3">
      <c r="B166" s="304"/>
      <c r="C166" s="17" t="s">
        <v>78</v>
      </c>
      <c r="D166" s="17" t="s">
        <v>35</v>
      </c>
      <c r="E166" s="17"/>
      <c r="F166" s="38">
        <f>(IF(NOT(ISBLANK('Referenz Pflasterwerk'!$I28)),'Referenz Pflasterwerk'!$I28,'Referenz Pflasterwerk'!$F28)-E149)*IF(NOT(ISBLANK('Eingabe EF'!$AA15)),'Eingabe EF'!$AA15,'Eingabe EF'!$Y15)</f>
        <v>80.80580102399999</v>
      </c>
      <c r="G166" s="38">
        <f>(IF(NOT(ISBLANK('Referenz Pflasterwerk'!$I28)),'Referenz Pflasterwerk'!$I28,'Referenz Pflasterwerk'!$F28)-E149)*IF(NOT(ISBLANK('Eingabe EF'!$AE15)),'Eingabe EF'!$AE15,'Eingabe EF'!$AC15)</f>
        <v>0</v>
      </c>
      <c r="H166" s="38">
        <f>(IF(NOT(ISBLANK('Referenz Pflasterwerk'!$I28)),'Referenz Pflasterwerk'!$I28,'Referenz Pflasterwerk'!$F28)-E149)*IF(NOT(ISBLANK('Eingabe EF'!$AI15)),'Eingabe EF'!$AI15,'Eingabe EF'!$AG15)</f>
        <v>14.276568384000003</v>
      </c>
      <c r="I166" s="17"/>
      <c r="J166" s="38">
        <f t="shared" si="22"/>
        <v>80.80580102399999</v>
      </c>
      <c r="K166" s="38">
        <f t="shared" si="21"/>
        <v>95.082369407999991</v>
      </c>
      <c r="L166" s="17" t="s">
        <v>199</v>
      </c>
      <c r="M166" s="43"/>
      <c r="N166" s="304"/>
      <c r="O166" s="17" t="s">
        <v>35</v>
      </c>
      <c r="P166" s="17" t="s">
        <v>78</v>
      </c>
      <c r="Q166" s="30"/>
      <c r="R166" s="17"/>
      <c r="S166" s="42">
        <f>(IF(NOT(ISBLANK('Referenz Pflasterwerk'!$I28)),'Referenz Pflasterwerk'!$I28,'Referenz Pflasterwerk'!$F28)-E149)*IF(NOT(ISBLANK('Eingabe Preise'!$K14)),'Eingabe Preise'!$K14,'Eingabe Preise'!$I14)</f>
        <v>34169.600000000006</v>
      </c>
      <c r="T166" s="20" t="s">
        <v>109</v>
      </c>
    </row>
    <row r="167" spans="2:21" ht="15.75" hidden="1" outlineLevel="1" x14ac:dyDescent="0.3">
      <c r="B167" s="303"/>
      <c r="C167" s="17" t="s">
        <v>77</v>
      </c>
      <c r="D167" s="17" t="s">
        <v>35</v>
      </c>
      <c r="E167" s="17"/>
      <c r="F167" s="38">
        <f>IF(NOT(ISBLANK('Referenz Pflasterwerk'!$I29)),'Referenz Pflasterwerk'!$I29,'Referenz Pflasterwerk'!$F29)*IF(NOT(ISBLANK('Eingabe EF'!$AA15)),'Eingabe EF'!$AA15,'Eingabe EF'!$Y15)</f>
        <v>10.632342239999998</v>
      </c>
      <c r="G167" s="38">
        <f>IF(NOT(ISBLANK('Referenz Pflasterwerk'!$I29)),'Referenz Pflasterwerk'!$I29,'Referenz Pflasterwerk'!$F29)*IF(NOT(ISBLANK('Eingabe EF'!$AE15)),'Eingabe EF'!$AE15,'Eingabe EF'!$AC15)</f>
        <v>0</v>
      </c>
      <c r="H167" s="38">
        <f>IF(NOT(ISBLANK('Referenz Pflasterwerk'!$I29)),'Referenz Pflasterwerk'!$I29,'Referenz Pflasterwerk'!$F29)*IF(NOT(ISBLANK('Eingabe EF'!$AI15)),'Eingabe EF'!$AI15,'Eingabe EF'!$AG15)</f>
        <v>1.8784958400000002</v>
      </c>
      <c r="I167" s="17"/>
      <c r="J167" s="38">
        <f t="shared" si="22"/>
        <v>10.632342239999998</v>
      </c>
      <c r="K167" s="38">
        <f t="shared" si="21"/>
        <v>12.510838079999999</v>
      </c>
      <c r="L167" s="17" t="s">
        <v>199</v>
      </c>
      <c r="M167" s="43"/>
      <c r="N167" s="21"/>
      <c r="O167" s="17" t="s">
        <v>35</v>
      </c>
      <c r="P167" s="17" t="s">
        <v>77</v>
      </c>
      <c r="Q167" s="30"/>
      <c r="R167" s="17"/>
      <c r="S167" s="42">
        <f>IF(NOT(ISBLANK('Referenz Pflasterwerk'!$I29)),'Referenz Pflasterwerk'!$I29,'Referenz Pflasterwerk'!$F29)*IF(NOT(ISBLANK('Eingabe Preise'!$K14)),'Eingabe Preise'!$K14,'Eingabe Preise'!$I14)</f>
        <v>4496</v>
      </c>
      <c r="T167" s="20" t="s">
        <v>109</v>
      </c>
    </row>
    <row r="168" spans="2:21" s="72" customFormat="1" ht="14.25" hidden="1" outlineLevel="1" x14ac:dyDescent="0.25">
      <c r="B168" s="69"/>
      <c r="C168" s="69" t="s">
        <v>190</v>
      </c>
      <c r="D168" s="69"/>
      <c r="E168" s="69"/>
      <c r="F168" s="71">
        <f>F169+F170</f>
        <v>0</v>
      </c>
      <c r="G168" s="71">
        <f t="shared" ref="G168:H168" si="23">G169+G170</f>
        <v>0</v>
      </c>
      <c r="H168" s="71">
        <f t="shared" si="23"/>
        <v>578.62626120000004</v>
      </c>
      <c r="I168" s="69"/>
      <c r="J168" s="71">
        <f t="shared" si="22"/>
        <v>0</v>
      </c>
      <c r="K168" s="71">
        <f t="shared" si="21"/>
        <v>578.62626120000004</v>
      </c>
      <c r="L168" s="76" t="s">
        <v>198</v>
      </c>
      <c r="N168" s="21"/>
      <c r="O168" s="21"/>
      <c r="P168" s="21"/>
      <c r="Q168" s="73"/>
      <c r="R168" s="21"/>
      <c r="S168" s="21"/>
      <c r="T168" s="21"/>
      <c r="U168" s="6"/>
    </row>
    <row r="169" spans="2:21" ht="15.75" hidden="1" outlineLevel="1" x14ac:dyDescent="0.3">
      <c r="B169" s="17"/>
      <c r="C169" s="17"/>
      <c r="D169" s="17" t="s">
        <v>46</v>
      </c>
      <c r="E169" s="17"/>
      <c r="F169" s="38">
        <f>IF(NOT(ISBLANK('Referenz Pflasterwerk'!$I32)),'Referenz Pflasterwerk'!$I32,'Referenz Pflasterwerk'!$F32)*IF(NOT(ISBLANK('Eingabe EF'!$AA17)),'Eingabe EF'!$AA17,'Eingabe EF'!$Y17)</f>
        <v>0</v>
      </c>
      <c r="G169" s="38">
        <f>IF(NOT(ISBLANK('Referenz Pflasterwerk'!$I32)),'Referenz Pflasterwerk'!$I32,'Referenz Pflasterwerk'!$F32)*IF(NOT(ISBLANK('Eingabe EF'!$AE17)),'Eingabe EF'!$AE17,'Eingabe EF'!$AC17)</f>
        <v>0</v>
      </c>
      <c r="H169" s="38">
        <f>IF(NOT(ISBLANK('Referenz Pflasterwerk'!$I32)),'Referenz Pflasterwerk'!$I32,'Referenz Pflasterwerk'!$F32)*IF(NOT(ISBLANK('Eingabe EF'!$AI17)),'Eingabe EF'!$AI17,'Eingabe EF'!$AG17)</f>
        <v>250.21676159999998</v>
      </c>
      <c r="I169" s="17"/>
      <c r="J169" s="38">
        <f t="shared" si="22"/>
        <v>0</v>
      </c>
      <c r="K169" s="38">
        <f t="shared" si="21"/>
        <v>250.21676159999998</v>
      </c>
      <c r="L169" s="17" t="s">
        <v>199</v>
      </c>
      <c r="M169" s="43"/>
      <c r="N169" s="17"/>
      <c r="O169" s="17"/>
      <c r="P169" s="17"/>
      <c r="Q169" s="30"/>
      <c r="R169" s="17"/>
      <c r="S169" s="17"/>
      <c r="T169" s="17"/>
    </row>
    <row r="170" spans="2:21" ht="15.75" hidden="1" outlineLevel="1" x14ac:dyDescent="0.3">
      <c r="B170" s="17"/>
      <c r="C170" s="17"/>
      <c r="D170" s="17" t="s">
        <v>47</v>
      </c>
      <c r="E170" s="17"/>
      <c r="F170" s="38">
        <f>IF(NOT(ISBLANK('Referenz Pflasterwerk'!$I33)),'Referenz Pflasterwerk'!$I33,'Referenz Pflasterwerk'!$F33)*IF(NOT(ISBLANK('Eingabe EF'!$AA18)),'Eingabe EF'!$AA18,'Eingabe EF'!$Y18)</f>
        <v>0</v>
      </c>
      <c r="G170" s="38">
        <f>IF(NOT(ISBLANK('Referenz Pflasterwerk'!$I33)),'Referenz Pflasterwerk'!$I33,'Referenz Pflasterwerk'!$F33)*IF(NOT(ISBLANK('Eingabe EF'!$AE18)),'Eingabe EF'!$AE18,'Eingabe EF'!$AC18)</f>
        <v>0</v>
      </c>
      <c r="H170" s="38">
        <f>IF(NOT(ISBLANK('Referenz Pflasterwerk'!$I33)),'Referenz Pflasterwerk'!$I33,'Referenz Pflasterwerk'!$F33)*IF(NOT(ISBLANK('Eingabe EF'!$AI18)),'Eingabe EF'!$AI18,'Eingabe EF'!$AG18)</f>
        <v>328.4094996</v>
      </c>
      <c r="I170" s="17"/>
      <c r="J170" s="38">
        <f t="shared" si="22"/>
        <v>0</v>
      </c>
      <c r="K170" s="38">
        <f t="shared" si="21"/>
        <v>328.4094996</v>
      </c>
      <c r="L170" s="17" t="s">
        <v>199</v>
      </c>
      <c r="M170" s="43"/>
      <c r="N170" s="304"/>
      <c r="O170" s="17" t="s">
        <v>31</v>
      </c>
      <c r="P170" s="17"/>
      <c r="Q170" s="30"/>
      <c r="R170" s="17"/>
      <c r="S170" s="42">
        <f>(IF(NOT(ISBLANK($G$27)),$G$27,$E$27)/IF(NOT(ISBLANK($G$32)),$G$32,$E$32)+IF(NOT(ISBLANK($G$27)),$G$27,$E$27)*(IF(NOT(ISBLANK($G$33)),$G$33,$E$33)/100))*E148</f>
        <v>72000</v>
      </c>
      <c r="T170" s="20" t="s">
        <v>109</v>
      </c>
    </row>
    <row r="171" spans="2:21" hidden="1" outlineLevel="1" x14ac:dyDescent="0.2">
      <c r="B171" s="17"/>
      <c r="C171" s="17"/>
      <c r="D171" s="17"/>
      <c r="E171" s="17"/>
      <c r="F171" s="20"/>
      <c r="G171" s="20"/>
      <c r="H171" s="20"/>
      <c r="I171" s="17"/>
      <c r="J171" s="20"/>
      <c r="K171" s="20"/>
      <c r="L171" s="17"/>
      <c r="N171" s="17"/>
      <c r="O171" s="45" t="s">
        <v>155</v>
      </c>
      <c r="P171" s="17"/>
      <c r="Q171" s="30"/>
      <c r="R171" s="17"/>
      <c r="S171" s="42">
        <f>IF(NOT(ISBLANK($G$28)),$G$28,$E$28)</f>
        <v>0</v>
      </c>
      <c r="T171" s="20" t="s">
        <v>109</v>
      </c>
    </row>
    <row r="172" spans="2:21" ht="14.25" hidden="1" outlineLevel="1" x14ac:dyDescent="0.25">
      <c r="B172" s="69"/>
      <c r="C172" s="69" t="s">
        <v>69</v>
      </c>
      <c r="D172" s="70"/>
      <c r="E172" s="70"/>
      <c r="F172" s="71">
        <f>SUM(F173:F176)</f>
        <v>0</v>
      </c>
      <c r="G172" s="71">
        <f>SUM(G173:G176)</f>
        <v>0</v>
      </c>
      <c r="H172" s="71">
        <f>SUM(H173:H176)</f>
        <v>7683.24</v>
      </c>
      <c r="I172" s="70"/>
      <c r="J172" s="71">
        <f t="shared" ref="J172:J176" si="24">F172+G172</f>
        <v>0</v>
      </c>
      <c r="K172" s="71">
        <f t="shared" ref="K172:K175" si="25">SUM(F172:H172)</f>
        <v>7683.24</v>
      </c>
      <c r="L172" s="76" t="s">
        <v>198</v>
      </c>
      <c r="N172" s="17"/>
      <c r="O172" s="45" t="s">
        <v>162</v>
      </c>
      <c r="P172" s="17"/>
      <c r="Q172" s="30"/>
      <c r="R172" s="17"/>
      <c r="S172" s="42">
        <f>IF(NOT(ISBLANK($G$29)),$G$29,$E$29)/IF(NOT(ISBLANK($G$32)),$G$32,$E$32)+IF(NOT(ISBLANK($G$29)),$G$29,$E$29)*(IF(NOT(ISBLANK($G$33)),$G$33,$E$33)/100)</f>
        <v>0</v>
      </c>
      <c r="T172" s="20" t="s">
        <v>109</v>
      </c>
    </row>
    <row r="173" spans="2:21" ht="15.75" hidden="1" outlineLevel="1" x14ac:dyDescent="0.3">
      <c r="B173" s="17"/>
      <c r="C173" s="17"/>
      <c r="D173" s="17" t="s">
        <v>48</v>
      </c>
      <c r="E173" s="17"/>
      <c r="F173" s="38">
        <f>IF(NOT(ISBLANK('Referenz Pflasterwerk'!$I36)),'Referenz Pflasterwerk'!$I36,'Referenz Pflasterwerk'!$F36)*IF(NOT(ISBLANK('Eingabe EF'!$AA21)),'Eingabe EF'!$AA21,'Eingabe EF'!$Y21)*IF(NOT(ISBLANK('Referenz Pflasterwerk'!$I$12)),'Referenz Pflasterwerk'!$I$12,'Referenz Pflasterwerk'!$F$12)</f>
        <v>0</v>
      </c>
      <c r="G173" s="38">
        <f>IF(NOT(ISBLANK('Referenz Pflasterwerk'!$I36)),'Referenz Pflasterwerk'!$I36,'Referenz Pflasterwerk'!$F36)*IF(NOT(ISBLANK('Eingabe EF'!$AE21)),'Eingabe EF'!$AE21,'Eingabe EF'!$AC21)*IF(NOT(ISBLANK('Referenz Pflasterwerk'!$I$12)),'Referenz Pflasterwerk'!$I$12,'Referenz Pflasterwerk'!$F$12)</f>
        <v>0</v>
      </c>
      <c r="H173" s="38">
        <f>IF(NOT(ISBLANK('Referenz Pflasterwerk'!$I36)),'Referenz Pflasterwerk'!$I36,'Referenz Pflasterwerk'!$F36)*IF(NOT(ISBLANK('Eingabe EF'!$AI21)),'Eingabe EF'!$AI21,'Eingabe EF'!$AG21)*IF(NOT(ISBLANK('Referenz Pflasterwerk'!$I$12)),'Referenz Pflasterwerk'!$I$12,'Referenz Pflasterwerk'!$F$12)</f>
        <v>2144.625</v>
      </c>
      <c r="I173" s="17"/>
      <c r="J173" s="38">
        <f t="shared" si="24"/>
        <v>0</v>
      </c>
      <c r="K173" s="38">
        <f t="shared" si="25"/>
        <v>2144.625</v>
      </c>
      <c r="L173" s="17" t="s">
        <v>199</v>
      </c>
      <c r="M173" s="43"/>
      <c r="N173" s="17"/>
      <c r="O173" s="17"/>
      <c r="P173" s="17"/>
      <c r="Q173" s="17"/>
      <c r="R173" s="17"/>
      <c r="S173" s="17"/>
      <c r="T173" s="17"/>
    </row>
    <row r="174" spans="2:21" ht="15.75" hidden="1" outlineLevel="1" x14ac:dyDescent="0.3">
      <c r="B174" s="17"/>
      <c r="C174" s="17"/>
      <c r="D174" s="17" t="s">
        <v>50</v>
      </c>
      <c r="E174" s="17"/>
      <c r="F174" s="38">
        <f>IF(NOT(ISBLANK('Referenz Pflasterwerk'!$I37)),'Referenz Pflasterwerk'!$I37,'Referenz Pflasterwerk'!$F37)*IF(NOT(ISBLANK('Eingabe EF'!$AA22)),'Eingabe EF'!$AA22,'Eingabe EF'!$Y22)*IF(NOT(ISBLANK('Referenz Pflasterwerk'!$I$12)),'Referenz Pflasterwerk'!$I$12,'Referenz Pflasterwerk'!$F$12)</f>
        <v>0</v>
      </c>
      <c r="G174" s="38">
        <f>IF(NOT(ISBLANK('Referenz Pflasterwerk'!$I37)),'Referenz Pflasterwerk'!$I37,'Referenz Pflasterwerk'!$F37)*IF(NOT(ISBLANK('Eingabe EF'!$AE22)),'Eingabe EF'!$AE22,'Eingabe EF'!$AC22)*IF(NOT(ISBLANK('Referenz Pflasterwerk'!$I$12)),'Referenz Pflasterwerk'!$I$12,'Referenz Pflasterwerk'!$F$12)</f>
        <v>0</v>
      </c>
      <c r="H174" s="38">
        <f>IF(NOT(ISBLANK('Referenz Pflasterwerk'!$I37)),'Referenz Pflasterwerk'!$I37,'Referenz Pflasterwerk'!$F37)*IF(NOT(ISBLANK('Eingabe EF'!$AI22)),'Eingabe EF'!$AI22,'Eingabe EF'!$AG22)*IF(NOT(ISBLANK('Referenz Pflasterwerk'!$I$12)),'Referenz Pflasterwerk'!$I$12,'Referenz Pflasterwerk'!$F$12)</f>
        <v>4993.59</v>
      </c>
      <c r="I174" s="17"/>
      <c r="J174" s="38">
        <f t="shared" si="24"/>
        <v>0</v>
      </c>
      <c r="K174" s="38">
        <f t="shared" si="25"/>
        <v>4993.59</v>
      </c>
      <c r="L174" s="17" t="s">
        <v>199</v>
      </c>
      <c r="M174" s="43"/>
      <c r="N174" s="17"/>
      <c r="O174" s="17"/>
      <c r="P174" s="17"/>
      <c r="Q174" s="17"/>
      <c r="R174" s="17"/>
      <c r="S174" s="17"/>
      <c r="T174" s="17"/>
    </row>
    <row r="175" spans="2:21" ht="15.75" hidden="1" outlineLevel="1" x14ac:dyDescent="0.3">
      <c r="B175" s="17"/>
      <c r="C175" s="17"/>
      <c r="D175" s="17" t="s">
        <v>51</v>
      </c>
      <c r="E175" s="17"/>
      <c r="F175" s="38">
        <f>IF(NOT(ISBLANK('Referenz Pflasterwerk'!$I38)),'Referenz Pflasterwerk'!$I38,'Referenz Pflasterwerk'!$F38)*IF(NOT(ISBLANK('Eingabe EF'!$AA23)),'Eingabe EF'!$AA23,'Eingabe EF'!$Y23)*IF(NOT(ISBLANK('Referenz Pflasterwerk'!$I$12)),'Referenz Pflasterwerk'!$I$12,'Referenz Pflasterwerk'!$F$12)</f>
        <v>0</v>
      </c>
      <c r="G175" s="38">
        <f>IF(NOT(ISBLANK('Referenz Pflasterwerk'!$I38)),'Referenz Pflasterwerk'!$I38,'Referenz Pflasterwerk'!$F38)*IF(NOT(ISBLANK('Eingabe EF'!$AE23)),'Eingabe EF'!$AE23,'Eingabe EF'!$AC23)*IF(NOT(ISBLANK('Referenz Pflasterwerk'!$I$12)),'Referenz Pflasterwerk'!$I$12,'Referenz Pflasterwerk'!$F$12)</f>
        <v>0</v>
      </c>
      <c r="H175" s="38">
        <f>IF(NOT(ISBLANK('Referenz Pflasterwerk'!$I38)),'Referenz Pflasterwerk'!$I38,'Referenz Pflasterwerk'!$F38)*IF(NOT(ISBLANK('Eingabe EF'!$AI23)),'Eingabe EF'!$AI23,'Eingabe EF'!$AG23)*IF(NOT(ISBLANK('Referenz Pflasterwerk'!$I$12)),'Referenz Pflasterwerk'!$I$12,'Referenz Pflasterwerk'!$F$12)</f>
        <v>545.02499999999998</v>
      </c>
      <c r="I175" s="17"/>
      <c r="J175" s="38">
        <f t="shared" si="24"/>
        <v>0</v>
      </c>
      <c r="K175" s="38">
        <f t="shared" si="25"/>
        <v>545.02499999999998</v>
      </c>
      <c r="L175" s="17" t="s">
        <v>199</v>
      </c>
      <c r="M175" s="43"/>
      <c r="N175" s="17"/>
      <c r="O175" s="17" t="s">
        <v>201</v>
      </c>
      <c r="P175" s="17"/>
      <c r="Q175" s="30"/>
      <c r="R175" s="17"/>
      <c r="S175" s="42">
        <f>F211*IF(NOT(ISBLANK('Eingabe Preise'!$K21)),'Eingabe Preise'!$K21,'Eingabe Preise'!$I21)</f>
        <v>4605.65744688</v>
      </c>
      <c r="T175" s="20" t="s">
        <v>109</v>
      </c>
    </row>
    <row r="176" spans="2:21" ht="15.75" hidden="1" outlineLevel="1" x14ac:dyDescent="0.3">
      <c r="B176" s="17"/>
      <c r="C176" s="17"/>
      <c r="D176" s="17" t="s">
        <v>163</v>
      </c>
      <c r="E176" s="17"/>
      <c r="F176" s="38">
        <f>IF(NOT(ISBLANK('Referenz Pflasterwerk'!$I39)),'Referenz Pflasterwerk'!$I39,'Referenz Pflasterwerk'!$F39)*IF(NOT(ISBLANK('Eingabe EF'!$AA24)),'Eingabe EF'!$AA24,0)*IF(NOT(ISBLANK('Referenz Pflasterwerk'!$I$12)),'Referenz Pflasterwerk'!$I$12,'Referenz Pflasterwerk'!$F$12)</f>
        <v>0</v>
      </c>
      <c r="G176" s="38">
        <f>IF(NOT(ISBLANK('Referenz Pflasterwerk'!$I39)),'Referenz Pflasterwerk'!$I39,'Referenz Pflasterwerk'!$F39)*IF(NOT(ISBLANK('Eingabe EF'!$AE24)),'Eingabe EF'!$AE24,0)*IF(NOT(ISBLANK('Referenz Pflasterwerk'!$I$12)),'Referenz Pflasterwerk'!$I$12,'Referenz Pflasterwerk'!$F$12)</f>
        <v>0</v>
      </c>
      <c r="H176" s="38">
        <f>IF(NOT(ISBLANK('Referenz Pflasterwerk'!$I39)),'Referenz Pflasterwerk'!$I39,'Referenz Pflasterwerk'!$F39)*IF(NOT(ISBLANK('Eingabe EF'!$AI24)),'Eingabe EF'!$AI24,0)*IF(NOT(ISBLANK('Referenz Pflasterwerk'!$I$12)),'Referenz Pflasterwerk'!$I$12,'Referenz Pflasterwerk'!$F$12)</f>
        <v>0</v>
      </c>
      <c r="I176" s="17"/>
      <c r="J176" s="38">
        <f t="shared" si="24"/>
        <v>0</v>
      </c>
      <c r="K176" s="38">
        <f t="shared" ref="K176" si="26">SUM(F176:H176)</f>
        <v>0</v>
      </c>
      <c r="L176" s="17" t="s">
        <v>199</v>
      </c>
      <c r="M176" s="43"/>
      <c r="N176" s="17"/>
      <c r="O176" s="17" t="s">
        <v>202</v>
      </c>
      <c r="P176" s="17"/>
      <c r="Q176" s="30"/>
      <c r="R176" s="17"/>
      <c r="S176" s="42">
        <f>G211*IF(NOT(ISBLANK('Eingabe Preise'!$K22)),'Eingabe Preise'!$K22,'Eingabe Preise'!$I22)</f>
        <v>9366.9335316535035</v>
      </c>
      <c r="T176" s="20" t="s">
        <v>109</v>
      </c>
    </row>
    <row r="177" spans="2:20" ht="15.75" hidden="1" outlineLevel="1" x14ac:dyDescent="0.3">
      <c r="B177" s="17"/>
      <c r="C177" s="17"/>
      <c r="D177" s="17"/>
      <c r="E177" s="17"/>
      <c r="F177" s="20"/>
      <c r="G177" s="20"/>
      <c r="H177" s="20"/>
      <c r="I177" s="17"/>
      <c r="J177" s="17"/>
      <c r="K177" s="20"/>
      <c r="L177" s="20"/>
      <c r="M177" s="43"/>
      <c r="N177" s="17"/>
      <c r="O177" s="17" t="s">
        <v>203</v>
      </c>
      <c r="P177" s="17"/>
      <c r="Q177" s="30"/>
      <c r="R177" s="17"/>
      <c r="S177" s="42">
        <f>H211*IF(NOT(ISBLANK('Eingabe Preise'!$K23)),'Eingabe Preise'!$K23,'Eingabe Preise'!$I23)</f>
        <v>472877.38332580886</v>
      </c>
      <c r="T177" s="20" t="s">
        <v>109</v>
      </c>
    </row>
    <row r="178" spans="2:20" ht="14.25" hidden="1" outlineLevel="1" x14ac:dyDescent="0.25">
      <c r="B178" s="69"/>
      <c r="C178" s="69" t="s">
        <v>178</v>
      </c>
      <c r="D178" s="70"/>
      <c r="E178" s="70"/>
      <c r="F178" s="71">
        <f>SUM(F179:F181)</f>
        <v>0</v>
      </c>
      <c r="G178" s="71">
        <f>SUM(G179:G181)</f>
        <v>0</v>
      </c>
      <c r="H178" s="71">
        <f>SUM(H179:H181)</f>
        <v>387.03000000000003</v>
      </c>
      <c r="I178" s="70"/>
      <c r="J178" s="71">
        <f t="shared" ref="J178" si="27">F178+G178</f>
        <v>0</v>
      </c>
      <c r="K178" s="71">
        <f t="shared" ref="K178" si="28">SUM(F178:H178)</f>
        <v>387.03000000000003</v>
      </c>
      <c r="L178" s="76" t="s">
        <v>198</v>
      </c>
      <c r="M178" s="43"/>
      <c r="N178" s="17"/>
      <c r="O178" s="17"/>
      <c r="P178" s="17"/>
      <c r="Q178" s="30"/>
      <c r="R178" s="17"/>
      <c r="S178" s="66"/>
      <c r="T178" s="17"/>
    </row>
    <row r="179" spans="2:20" ht="15.75" hidden="1" outlineLevel="1" x14ac:dyDescent="0.3">
      <c r="B179" s="17"/>
      <c r="C179" s="17"/>
      <c r="D179" s="17" t="s">
        <v>179</v>
      </c>
      <c r="E179" s="17"/>
      <c r="F179" s="38">
        <f>IF(NOT(ISBLANK('Referenz Pflasterwerk'!$I42)),'Referenz Pflasterwerk'!$I42,'Referenz Pflasterwerk'!$F42)*IF(NOT(ISBLANK('Eingabe EF'!$AA27)),'Eingabe EF'!$AA27,'Eingabe EF'!$Y27)*IF(NOT(ISBLANK('Referenz Pflasterwerk'!$I$12)),'Referenz Pflasterwerk'!$I$12,'Referenz Pflasterwerk'!$F$12)</f>
        <v>0</v>
      </c>
      <c r="G179" s="38">
        <f>IF(NOT(ISBLANK('Referenz Pflasterwerk'!$I42)),'Referenz Pflasterwerk'!$I42,'Referenz Pflasterwerk'!$F42)*IF(NOT(ISBLANK('Eingabe EF'!$AE27)),'Eingabe EF'!$AE27,'Eingabe EF'!$AC27)*IF(NOT(ISBLANK('Referenz Pflasterwerk'!$I$12)),'Referenz Pflasterwerk'!$I$12,'Referenz Pflasterwerk'!$F$12)</f>
        <v>0</v>
      </c>
      <c r="H179" s="38">
        <f>IF(NOT(ISBLANK('Referenz Pflasterwerk'!$I42)),'Referenz Pflasterwerk'!$I42,'Referenz Pflasterwerk'!$F42)*IF(NOT(ISBLANK('Eingabe EF'!$AI27)),'Eingabe EF'!$AI27,'Eingabe EF'!$AG27)*IF(NOT(ISBLANK('Referenz Pflasterwerk'!$I$12)),'Referenz Pflasterwerk'!$I$12,'Referenz Pflasterwerk'!$F$12)</f>
        <v>387.03000000000003</v>
      </c>
      <c r="I179" s="17"/>
      <c r="J179" s="38">
        <f>F179+G179</f>
        <v>0</v>
      </c>
      <c r="K179" s="38">
        <f>SUM(F179:H179)</f>
        <v>387.03000000000003</v>
      </c>
      <c r="L179" s="17" t="s">
        <v>199</v>
      </c>
      <c r="M179" s="43"/>
      <c r="N179" s="17"/>
      <c r="O179" s="17"/>
      <c r="P179" s="17"/>
      <c r="Q179" s="17"/>
      <c r="R179" s="17"/>
      <c r="S179" s="17"/>
      <c r="T179" s="17"/>
    </row>
    <row r="180" spans="2:20" ht="15.75" hidden="1" outlineLevel="1" x14ac:dyDescent="0.3">
      <c r="B180" s="17"/>
      <c r="C180" s="17"/>
      <c r="D180" s="17" t="s">
        <v>180</v>
      </c>
      <c r="E180" s="17"/>
      <c r="F180" s="38">
        <f>IF(NOT(ISBLANK('Referenz Pflasterwerk'!$I43)),'Referenz Pflasterwerk'!$I43,'Referenz Pflasterwerk'!$F43)*IF(NOT(ISBLANK('Eingabe EF'!$AA28)),'Eingabe EF'!$AA28,0)*IF(NOT(ISBLANK('Referenz Pflasterwerk'!$I$12)),'Referenz Pflasterwerk'!$I$12,'Referenz Pflasterwerk'!$F$12)</f>
        <v>0</v>
      </c>
      <c r="G180" s="38">
        <f>IF(NOT(ISBLANK('Referenz Pflasterwerk'!$I43)),'Referenz Pflasterwerk'!$I43,'Referenz Pflasterwerk'!$F43)*IF(NOT(ISBLANK('Eingabe EF'!$AE28)),'Eingabe EF'!$AE28,0)*IF(NOT(ISBLANK('Referenz Pflasterwerk'!$I$12)),'Referenz Pflasterwerk'!$I$12,'Referenz Pflasterwerk'!$F$12)</f>
        <v>0</v>
      </c>
      <c r="H180" s="38">
        <f>IF(NOT(ISBLANK('Referenz Pflasterwerk'!$I43)),'Referenz Pflasterwerk'!$I43,'Referenz Pflasterwerk'!$F43)*IF(NOT(ISBLANK('Eingabe EF'!$AI28)),'Eingabe EF'!$AI28,0)*IF(NOT(ISBLANK('Referenz Pflasterwerk'!$I$12)),'Referenz Pflasterwerk'!$I$12,'Referenz Pflasterwerk'!$F$12)</f>
        <v>0</v>
      </c>
      <c r="I180" s="17"/>
      <c r="J180" s="38">
        <f t="shared" ref="J180:J181" si="29">F180+G180</f>
        <v>0</v>
      </c>
      <c r="K180" s="38">
        <f t="shared" ref="K180:K181" si="30">SUM(F180:H180)</f>
        <v>0</v>
      </c>
      <c r="L180" s="17" t="s">
        <v>199</v>
      </c>
      <c r="M180" s="43"/>
      <c r="N180" s="17"/>
      <c r="O180" s="17"/>
      <c r="P180" s="17"/>
      <c r="Q180" s="30"/>
      <c r="R180" s="17"/>
      <c r="S180" s="66"/>
      <c r="T180" s="17"/>
    </row>
    <row r="181" spans="2:20" ht="15.75" hidden="1" outlineLevel="1" x14ac:dyDescent="0.3">
      <c r="B181" s="17"/>
      <c r="C181" s="17"/>
      <c r="D181" s="17" t="s">
        <v>181</v>
      </c>
      <c r="E181" s="17"/>
      <c r="F181" s="38">
        <f>IF(NOT(ISBLANK('Referenz Pflasterwerk'!$I44)),'Referenz Pflasterwerk'!$I44,'Referenz Pflasterwerk'!$F44)*IF(NOT(ISBLANK('Eingabe EF'!$AA29)),'Eingabe EF'!$AA29,0)*IF(NOT(ISBLANK('Referenz Pflasterwerk'!$I$12)),'Referenz Pflasterwerk'!$I$12,'Referenz Pflasterwerk'!$F$12)</f>
        <v>0</v>
      </c>
      <c r="G181" s="38">
        <f>IF(NOT(ISBLANK('Referenz Pflasterwerk'!$I44)),'Referenz Pflasterwerk'!$I44,'Referenz Pflasterwerk'!$F44)*IF(NOT(ISBLANK('Eingabe EF'!$AE29)),'Eingabe EF'!$AE29,0)*IF(NOT(ISBLANK('Referenz Pflasterwerk'!$I$12)),'Referenz Pflasterwerk'!$I$12,'Referenz Pflasterwerk'!$F$12)</f>
        <v>0</v>
      </c>
      <c r="H181" s="38">
        <f>IF(NOT(ISBLANK('Referenz Pflasterwerk'!$I44)),'Referenz Pflasterwerk'!$I44,'Referenz Pflasterwerk'!$F44)*IF(NOT(ISBLANK('Eingabe EF'!$AI29)),'Eingabe EF'!$AI29,0)*IF(NOT(ISBLANK('Referenz Pflasterwerk'!$I$12)),'Referenz Pflasterwerk'!$I$12,'Referenz Pflasterwerk'!$F$12)</f>
        <v>0</v>
      </c>
      <c r="I181" s="17"/>
      <c r="J181" s="38">
        <f t="shared" si="29"/>
        <v>0</v>
      </c>
      <c r="K181" s="38">
        <f t="shared" si="30"/>
        <v>0</v>
      </c>
      <c r="L181" s="17" t="s">
        <v>199</v>
      </c>
      <c r="M181" s="43"/>
      <c r="N181" s="43"/>
      <c r="O181" s="43"/>
      <c r="P181" s="43"/>
      <c r="Q181" s="43"/>
      <c r="R181" s="43"/>
      <c r="S181" s="43"/>
    </row>
    <row r="182" spans="2:20" hidden="1" outlineLevel="1" x14ac:dyDescent="0.2">
      <c r="B182" s="17"/>
      <c r="C182" s="17"/>
      <c r="D182" s="17"/>
      <c r="E182" s="17"/>
      <c r="F182" s="20"/>
      <c r="G182" s="20"/>
      <c r="H182" s="20"/>
      <c r="I182" s="17"/>
      <c r="J182" s="17"/>
      <c r="K182" s="20"/>
      <c r="L182" s="20"/>
      <c r="M182" s="43"/>
      <c r="N182" s="43"/>
      <c r="O182" s="43"/>
      <c r="P182" s="43"/>
      <c r="Q182" s="43"/>
      <c r="R182" s="43"/>
      <c r="S182" s="43"/>
    </row>
    <row r="183" spans="2:20" ht="14.25" hidden="1" outlineLevel="1" x14ac:dyDescent="0.25">
      <c r="B183" s="17"/>
      <c r="C183" s="17"/>
      <c r="D183" s="21" t="s">
        <v>58</v>
      </c>
      <c r="E183" s="21"/>
      <c r="F183" s="74">
        <f>IF(NOT(ISBLANK('Referenz Pflasterwerk'!$I46)),'Referenz Pflasterwerk'!$I46,'Referenz Pflasterwerk'!$F46)*IF(NOT(ISBLANK('Eingabe EF'!$AA31)),'Eingabe EF'!$AA31,'Eingabe EF'!$Y31)*IF(NOT(ISBLANK('Referenz Pflasterwerk'!$I$12)),'Referenz Pflasterwerk'!$I$12,'Referenz Pflasterwerk'!$F$12)</f>
        <v>0</v>
      </c>
      <c r="G183" s="74">
        <f>IF(NOT(ISBLANK('Referenz Pflasterwerk'!$I46)),'Referenz Pflasterwerk'!$I46,'Referenz Pflasterwerk'!$F46)*IF(NOT(ISBLANK('Eingabe EF'!$AE31)),'Eingabe EF'!$AE31,'Eingabe EF'!$AC31)*IF(NOT(ISBLANK('Referenz Pflasterwerk'!$I$12)),'Referenz Pflasterwerk'!$I$12,'Referenz Pflasterwerk'!$F$12)</f>
        <v>0</v>
      </c>
      <c r="H183" s="74">
        <f>IF(NOT(ISBLANK('Referenz Pflasterwerk'!$I46)),'Referenz Pflasterwerk'!$I46,'Referenz Pflasterwerk'!$F46)*IF(NOT(ISBLANK('Eingabe EF'!$AI31)),'Eingabe EF'!$AI31,'Eingabe EF'!$AG31)*IF(NOT(ISBLANK('Referenz Pflasterwerk'!$I$12)),'Referenz Pflasterwerk'!$I$12,'Referenz Pflasterwerk'!$F$12)</f>
        <v>1040</v>
      </c>
      <c r="I183" s="21"/>
      <c r="J183" s="74">
        <f>F183+G183</f>
        <v>0</v>
      </c>
      <c r="K183" s="74">
        <f t="shared" ref="K183" si="31">SUM(F183:H183)</f>
        <v>1040</v>
      </c>
      <c r="L183" s="21" t="s">
        <v>198</v>
      </c>
      <c r="M183" s="43"/>
      <c r="N183" s="43"/>
      <c r="O183" s="43"/>
      <c r="P183" s="43"/>
      <c r="Q183" s="43"/>
      <c r="R183" s="43"/>
      <c r="S183" s="43"/>
    </row>
    <row r="184" spans="2:20" hidden="1" outlineLevel="1" x14ac:dyDescent="0.2">
      <c r="B184" s="17"/>
      <c r="C184" s="17"/>
      <c r="D184" s="17"/>
      <c r="E184" s="17"/>
      <c r="F184" s="20"/>
      <c r="G184" s="20"/>
      <c r="H184" s="20"/>
      <c r="I184" s="17"/>
      <c r="J184" s="17"/>
      <c r="K184" s="20"/>
      <c r="L184" s="20"/>
      <c r="M184" s="43"/>
      <c r="N184" s="43"/>
      <c r="O184" s="43"/>
      <c r="P184" s="43"/>
      <c r="Q184" s="43"/>
      <c r="R184" s="43"/>
      <c r="S184" s="43"/>
    </row>
    <row r="185" spans="2:20" ht="14.25" hidden="1" outlineLevel="1" x14ac:dyDescent="0.25">
      <c r="B185" s="69"/>
      <c r="C185" s="69" t="s">
        <v>182</v>
      </c>
      <c r="D185" s="70"/>
      <c r="E185" s="70"/>
      <c r="F185" s="71">
        <f>SUM(F186:F188)</f>
        <v>0</v>
      </c>
      <c r="G185" s="71">
        <f>SUM(G186:G188)</f>
        <v>0</v>
      </c>
      <c r="H185" s="71">
        <f>SUM(H186:H188)</f>
        <v>424.19999999999993</v>
      </c>
      <c r="I185" s="70"/>
      <c r="J185" s="71">
        <f t="shared" ref="J185" si="32">F185+G185</f>
        <v>0</v>
      </c>
      <c r="K185" s="71">
        <f t="shared" ref="K185" si="33">SUM(F185:H185)</f>
        <v>424.19999999999993</v>
      </c>
      <c r="L185" s="76" t="s">
        <v>198</v>
      </c>
      <c r="M185" s="43"/>
      <c r="N185" s="43"/>
      <c r="O185" s="43"/>
      <c r="P185" s="43"/>
      <c r="Q185" s="43"/>
      <c r="R185" s="43"/>
      <c r="S185" s="43"/>
    </row>
    <row r="186" spans="2:20" ht="15.75" hidden="1" outlineLevel="1" x14ac:dyDescent="0.3">
      <c r="B186" s="17"/>
      <c r="C186" s="17"/>
      <c r="D186" s="17" t="s">
        <v>60</v>
      </c>
      <c r="E186" s="17"/>
      <c r="F186" s="38">
        <f>IF(NOT(ISBLANK('Referenz Pflasterwerk'!$I49)),'Referenz Pflasterwerk'!$I49,'Referenz Pflasterwerk'!$F49)*IF(NOT(ISBLANK('Eingabe EF'!$AA34)),'Eingabe EF'!$AA34,'Eingabe EF'!$Y34)*IF(NOT(ISBLANK('Referenz Pflasterwerk'!$I$12)),'Referenz Pflasterwerk'!$I$12,'Referenz Pflasterwerk'!$F$12)</f>
        <v>0</v>
      </c>
      <c r="G186" s="38">
        <f>IF(NOT(ISBLANK('Referenz Pflasterwerk'!$I49)),'Referenz Pflasterwerk'!$I49,'Referenz Pflasterwerk'!$F49)*IF(NOT(ISBLANK('Eingabe EF'!$AE34)),'Eingabe EF'!$AE34,'Eingabe EF'!$AC34)*IF(NOT(ISBLANK('Referenz Pflasterwerk'!$I$12)),'Referenz Pflasterwerk'!$I$12,'Referenz Pflasterwerk'!$F$12)</f>
        <v>0</v>
      </c>
      <c r="H186" s="38">
        <f>IF(NOT(ISBLANK('Referenz Pflasterwerk'!$I49)),'Referenz Pflasterwerk'!$I49,'Referenz Pflasterwerk'!$F49)*IF(NOT(ISBLANK('Eingabe EF'!$AI34)),'Eingabe EF'!$AI34,'Eingabe EF'!$AG34)*IF(NOT(ISBLANK('Referenz Pflasterwerk'!$I$12)),'Referenz Pflasterwerk'!$I$12,'Referenz Pflasterwerk'!$F$12)</f>
        <v>356.4</v>
      </c>
      <c r="I186" s="17"/>
      <c r="J186" s="38">
        <f>F186+G186</f>
        <v>0</v>
      </c>
      <c r="K186" s="38">
        <f>SUM(F186:H186)</f>
        <v>356.4</v>
      </c>
      <c r="L186" s="17" t="s">
        <v>199</v>
      </c>
      <c r="M186" s="43"/>
      <c r="N186" s="43"/>
      <c r="O186" s="43"/>
      <c r="P186" s="43"/>
      <c r="Q186" s="43"/>
      <c r="R186" s="43"/>
      <c r="S186" s="43"/>
    </row>
    <row r="187" spans="2:20" ht="15.75" hidden="1" outlineLevel="1" x14ac:dyDescent="0.3">
      <c r="B187" s="17"/>
      <c r="C187" s="17"/>
      <c r="D187" s="17" t="s">
        <v>61</v>
      </c>
      <c r="E187" s="17"/>
      <c r="F187" s="38">
        <f>IF(NOT(ISBLANK('Referenz Pflasterwerk'!$I50)),'Referenz Pflasterwerk'!$I50,'Referenz Pflasterwerk'!$F50)*IF(NOT(ISBLANK('Eingabe EF'!$AA35)),'Eingabe EF'!$AA35,'Eingabe EF'!$Y35)*IF(NOT(ISBLANK('Referenz Pflasterwerk'!$I$12)),'Referenz Pflasterwerk'!$I$12,'Referenz Pflasterwerk'!$F$12)</f>
        <v>0</v>
      </c>
      <c r="G187" s="38">
        <f>IF(NOT(ISBLANK('Referenz Pflasterwerk'!$I50)),'Referenz Pflasterwerk'!$I50,'Referenz Pflasterwerk'!$F50)*IF(NOT(ISBLANK('Eingabe EF'!$AE35)),'Eingabe EF'!$AE35,'Eingabe EF'!$AC35)*IF(NOT(ISBLANK('Referenz Pflasterwerk'!$I$12)),'Referenz Pflasterwerk'!$I$12,'Referenz Pflasterwerk'!$F$12)</f>
        <v>0</v>
      </c>
      <c r="H187" s="38">
        <f>IF(NOT(ISBLANK('Referenz Pflasterwerk'!$I50)),'Referenz Pflasterwerk'!$I50,'Referenz Pflasterwerk'!$F50)*IF(NOT(ISBLANK('Eingabe EF'!$AI35)),'Eingabe EF'!$AI35,'Eingabe EF'!$AG35)*IF(NOT(ISBLANK('Referenz Pflasterwerk'!$I$12)),'Referenz Pflasterwerk'!$I$12,'Referenz Pflasterwerk'!$F$12)</f>
        <v>0</v>
      </c>
      <c r="I187" s="17"/>
      <c r="J187" s="38">
        <f>F187+G187</f>
        <v>0</v>
      </c>
      <c r="K187" s="38">
        <f>SUM(F187:H187)</f>
        <v>0</v>
      </c>
      <c r="L187" s="17" t="s">
        <v>199</v>
      </c>
      <c r="M187" s="43"/>
      <c r="N187" s="43"/>
      <c r="O187" s="43"/>
      <c r="P187" s="43"/>
      <c r="Q187" s="43"/>
      <c r="R187" s="43"/>
      <c r="S187" s="43"/>
    </row>
    <row r="188" spans="2:20" ht="15.75" hidden="1" outlineLevel="1" x14ac:dyDescent="0.3">
      <c r="B188" s="17"/>
      <c r="C188" s="17"/>
      <c r="D188" s="17" t="s">
        <v>62</v>
      </c>
      <c r="E188" s="17"/>
      <c r="F188" s="38">
        <f>IF(NOT(ISBLANK('Referenz Pflasterwerk'!$I51)),'Referenz Pflasterwerk'!$I51,'Referenz Pflasterwerk'!$F51)*IF(NOT(ISBLANK('Eingabe EF'!$AA36)),'Eingabe EF'!$AA36,'Eingabe EF'!$Y36)*IF(NOT(ISBLANK('Referenz Pflasterwerk'!$I$12)),'Referenz Pflasterwerk'!$I$12,'Referenz Pflasterwerk'!$F$12)</f>
        <v>0</v>
      </c>
      <c r="G188" s="38">
        <f>IF(NOT(ISBLANK('Referenz Pflasterwerk'!$I51)),'Referenz Pflasterwerk'!$I51,'Referenz Pflasterwerk'!$F51)*IF(NOT(ISBLANK('Eingabe EF'!$AE36)),'Eingabe EF'!$AE36,'Eingabe EF'!$AC36)*IF(NOT(ISBLANK('Referenz Pflasterwerk'!$I$12)),'Referenz Pflasterwerk'!$I$12,'Referenz Pflasterwerk'!$F$12)</f>
        <v>0</v>
      </c>
      <c r="H188" s="38">
        <f>IF(NOT(ISBLANK('Referenz Pflasterwerk'!$I51)),'Referenz Pflasterwerk'!$I51,'Referenz Pflasterwerk'!$F51)*IF(NOT(ISBLANK('Eingabe EF'!$AI36)),'Eingabe EF'!$AI36,'Eingabe EF'!$AG36)*IF(NOT(ISBLANK('Referenz Pflasterwerk'!$I$12)),'Referenz Pflasterwerk'!$I$12,'Referenz Pflasterwerk'!$F$12)</f>
        <v>67.799999999999983</v>
      </c>
      <c r="I188" s="17"/>
      <c r="J188" s="38">
        <f>F188+G188</f>
        <v>0</v>
      </c>
      <c r="K188" s="38">
        <f>SUM(F188:H188)</f>
        <v>67.799999999999983</v>
      </c>
      <c r="L188" s="17" t="s">
        <v>199</v>
      </c>
      <c r="M188" s="43"/>
      <c r="N188" s="43"/>
      <c r="O188" s="43"/>
      <c r="P188" s="43"/>
      <c r="Q188" s="43"/>
      <c r="R188" s="43"/>
      <c r="S188" s="43"/>
    </row>
    <row r="189" spans="2:20" hidden="1" outlineLevel="1" x14ac:dyDescent="0.2">
      <c r="B189" s="17"/>
      <c r="C189" s="17"/>
      <c r="D189" s="17"/>
      <c r="E189" s="17"/>
      <c r="F189" s="20"/>
      <c r="G189" s="20"/>
      <c r="H189" s="20"/>
      <c r="I189" s="17"/>
      <c r="J189" s="17"/>
      <c r="K189" s="20"/>
      <c r="L189" s="20"/>
      <c r="M189" s="43"/>
      <c r="N189" s="43"/>
      <c r="O189" s="43"/>
      <c r="P189" s="43"/>
      <c r="Q189" s="43"/>
      <c r="R189" s="43"/>
      <c r="S189" s="43"/>
    </row>
    <row r="190" spans="2:20" ht="14.25" hidden="1" outlineLevel="1" x14ac:dyDescent="0.25">
      <c r="B190" s="69"/>
      <c r="C190" s="69" t="s">
        <v>52</v>
      </c>
      <c r="D190" s="70"/>
      <c r="E190" s="70"/>
      <c r="F190" s="71">
        <f>SUM(F191:F194)</f>
        <v>0</v>
      </c>
      <c r="G190" s="71">
        <f>SUM(G191:G194)</f>
        <v>0</v>
      </c>
      <c r="H190" s="71">
        <f>SUM(H191:H194)</f>
        <v>185.55932668689491</v>
      </c>
      <c r="I190" s="70"/>
      <c r="J190" s="71">
        <f t="shared" ref="J190:J194" si="34">F190+G190</f>
        <v>0</v>
      </c>
      <c r="K190" s="71">
        <f t="shared" ref="K190" si="35">SUM(F190:H190)</f>
        <v>185.55932668689491</v>
      </c>
      <c r="L190" s="76" t="s">
        <v>198</v>
      </c>
      <c r="M190" s="43"/>
      <c r="N190" s="43"/>
      <c r="O190" s="43"/>
      <c r="P190" s="43"/>
      <c r="Q190" s="43"/>
      <c r="R190" s="43"/>
      <c r="S190" s="43"/>
    </row>
    <row r="191" spans="2:20" ht="15.75" hidden="1" outlineLevel="1" x14ac:dyDescent="0.3">
      <c r="B191" s="17"/>
      <c r="C191" s="17"/>
      <c r="D191" s="17" t="s">
        <v>53</v>
      </c>
      <c r="E191" s="17"/>
      <c r="F191" s="38">
        <f>IF(NOT(ISBLANK('Referenz Pflasterwerk'!$I$53)),'Referenz Pflasterwerk'!$I$53,'Referenz Pflasterwerk'!$F$53)*IF(NOT(ISBLANK('Referenz Pflasterwerk'!$I54)),'Referenz Pflasterwerk'!$I54,'Referenz Pflasterwerk'!$F54)*IF(NOT(ISBLANK('Eingabe EF'!$AA39)),'Eingabe EF'!$AA39,'Eingabe EF'!$Y39)*IF(NOT(ISBLANK('Referenz Pflasterwerk'!$I$12)),'Referenz Pflasterwerk'!$I$12,'Referenz Pflasterwerk'!$F$12)</f>
        <v>0</v>
      </c>
      <c r="G191" s="38">
        <f>IF(NOT(ISBLANK('Referenz Pflasterwerk'!$I$53)),'Referenz Pflasterwerk'!$I$53,'Referenz Pflasterwerk'!$F$53)*IF(NOT(ISBLANK('Referenz Pflasterwerk'!$I54)),'Referenz Pflasterwerk'!$I54,'Referenz Pflasterwerk'!$F54)*IF(NOT(ISBLANK('Eingabe EF'!$AE39)),'Eingabe EF'!$AE39,'Eingabe EF'!$AC39)*IF(NOT(ISBLANK('Referenz Pflasterwerk'!$I$12)),'Referenz Pflasterwerk'!$I$12,'Referenz Pflasterwerk'!$F$12)</f>
        <v>0</v>
      </c>
      <c r="H191" s="38">
        <f>IF(NOT(ISBLANK('Referenz Pflasterwerk'!$I$53)),'Referenz Pflasterwerk'!$I$53,'Referenz Pflasterwerk'!$F$53)*IF(NOT(ISBLANK('Referenz Pflasterwerk'!$I54)),'Referenz Pflasterwerk'!$I54,'Referenz Pflasterwerk'!$F54)*IF(NOT(ISBLANK('Eingabe EF'!$AI39)),'Eingabe EF'!$AI39,'Eingabe EF'!$AG39)*IF(NOT(ISBLANK('Referenz Pflasterwerk'!$I$12)),'Referenz Pflasterwerk'!$I$12,'Referenz Pflasterwerk'!$F$12)</f>
        <v>59.997399219765924</v>
      </c>
      <c r="I191" s="17"/>
      <c r="J191" s="38">
        <f t="shared" si="34"/>
        <v>0</v>
      </c>
      <c r="K191" s="38">
        <f t="shared" ref="K191:K194" si="36">SUM(F191:H191)</f>
        <v>59.997399219765924</v>
      </c>
      <c r="L191" s="17" t="s">
        <v>199</v>
      </c>
      <c r="M191" s="43"/>
      <c r="N191" s="43"/>
      <c r="O191" s="43"/>
      <c r="P191" s="43"/>
      <c r="Q191" s="43"/>
      <c r="R191" s="43"/>
      <c r="S191" s="43"/>
    </row>
    <row r="192" spans="2:20" ht="15.75" hidden="1" outlineLevel="1" x14ac:dyDescent="0.3">
      <c r="B192" s="17"/>
      <c r="C192" s="17"/>
      <c r="D192" s="17" t="s">
        <v>55</v>
      </c>
      <c r="E192" s="17"/>
      <c r="F192" s="38">
        <f>IF(NOT(ISBLANK('Referenz Pflasterwerk'!$I$53)),'Referenz Pflasterwerk'!$I$53,'Referenz Pflasterwerk'!$F$53)*IF(NOT(ISBLANK('Referenz Pflasterwerk'!$I55)),'Referenz Pflasterwerk'!$I55,'Referenz Pflasterwerk'!$F55)*IF(NOT(ISBLANK('Eingabe EF'!$AA40)),'Eingabe EF'!$AA40,'Eingabe EF'!$Y40)*IF(NOT(ISBLANK('Referenz Pflasterwerk'!$I$12)),'Referenz Pflasterwerk'!$I$12,'Referenz Pflasterwerk'!$F$12)</f>
        <v>0</v>
      </c>
      <c r="G192" s="38">
        <f>IF(NOT(ISBLANK('Referenz Pflasterwerk'!$I$53)),'Referenz Pflasterwerk'!$I$53,'Referenz Pflasterwerk'!$F$53)*IF(NOT(ISBLANK('Referenz Pflasterwerk'!$I55)),'Referenz Pflasterwerk'!$I55,'Referenz Pflasterwerk'!$F55)*IF(NOT(ISBLANK('Eingabe EF'!$AE40)),'Eingabe EF'!$AE40,'Eingabe EF'!$AC40)*IF(NOT(ISBLANK('Referenz Pflasterwerk'!$I$12)),'Referenz Pflasterwerk'!$I$12,'Referenz Pflasterwerk'!$F$12)</f>
        <v>0</v>
      </c>
      <c r="H192" s="38">
        <f>IF(NOT(ISBLANK('Referenz Pflasterwerk'!$I$53)),'Referenz Pflasterwerk'!$I$53,'Referenz Pflasterwerk'!$F$53)*IF(NOT(ISBLANK('Referenz Pflasterwerk'!$I55)),'Referenz Pflasterwerk'!$I55,'Referenz Pflasterwerk'!$F55)*IF(NOT(ISBLANK('Eingabe EF'!$AI40)),'Eingabe EF'!$AI40,'Eingabe EF'!$AG40)*IF(NOT(ISBLANK('Referenz Pflasterwerk'!$I$12)),'Referenz Pflasterwerk'!$I$12,'Referenz Pflasterwerk'!$F$12)</f>
        <v>7.224692963444574</v>
      </c>
      <c r="I192" s="17"/>
      <c r="J192" s="38">
        <f t="shared" si="34"/>
        <v>0</v>
      </c>
      <c r="K192" s="38">
        <f t="shared" si="36"/>
        <v>7.224692963444574</v>
      </c>
      <c r="L192" s="17" t="s">
        <v>199</v>
      </c>
      <c r="M192" s="43"/>
      <c r="N192" s="43"/>
      <c r="O192" s="43"/>
      <c r="P192" s="43"/>
      <c r="Q192" s="43"/>
      <c r="R192" s="43"/>
      <c r="S192" s="43"/>
    </row>
    <row r="193" spans="2:19" ht="15.75" hidden="1" outlineLevel="1" x14ac:dyDescent="0.3">
      <c r="B193" s="17"/>
      <c r="C193" s="17"/>
      <c r="D193" s="17" t="s">
        <v>56</v>
      </c>
      <c r="E193" s="17"/>
      <c r="F193" s="38">
        <f>IF(NOT(ISBLANK('Referenz Pflasterwerk'!$I$53)),'Referenz Pflasterwerk'!$I$53,'Referenz Pflasterwerk'!$F$53)*IF(NOT(ISBLANK('Referenz Pflasterwerk'!$I56)),'Referenz Pflasterwerk'!$I56,'Referenz Pflasterwerk'!$F56)*IF(NOT(ISBLANK('Eingabe EF'!$AA41)),'Eingabe EF'!$AA41,'Eingabe EF'!$Y41)*IF(NOT(ISBLANK('Referenz Pflasterwerk'!$I$12)),'Referenz Pflasterwerk'!$I$12,'Referenz Pflasterwerk'!$F$12)</f>
        <v>0</v>
      </c>
      <c r="G193" s="38">
        <f>IF(NOT(ISBLANK('Referenz Pflasterwerk'!$I$53)),'Referenz Pflasterwerk'!$I$53,'Referenz Pflasterwerk'!$F$53)*IF(NOT(ISBLANK('Referenz Pflasterwerk'!$I56)),'Referenz Pflasterwerk'!$I56,'Referenz Pflasterwerk'!$F56)*IF(NOT(ISBLANK('Eingabe EF'!$AE41)),'Eingabe EF'!$AE41,'Eingabe EF'!$AC41)*IF(NOT(ISBLANK('Referenz Pflasterwerk'!$I$12)),'Referenz Pflasterwerk'!$I$12,'Referenz Pflasterwerk'!$F$12)</f>
        <v>0</v>
      </c>
      <c r="H193" s="38">
        <f>IF(NOT(ISBLANK('Referenz Pflasterwerk'!$I$53)),'Referenz Pflasterwerk'!$I$53,'Referenz Pflasterwerk'!$F$53)*IF(NOT(ISBLANK('Referenz Pflasterwerk'!$I56)),'Referenz Pflasterwerk'!$I56,'Referenz Pflasterwerk'!$F56)*IF(NOT(ISBLANK('Eingabe EF'!$AI41)),'Eingabe EF'!$AI41,'Eingabe EF'!$AG41)*IF(NOT(ISBLANK('Referenz Pflasterwerk'!$I$12)),'Referenz Pflasterwerk'!$I$12,'Referenz Pflasterwerk'!$F$12)</f>
        <v>1.7771998266146515E-2</v>
      </c>
      <c r="I193" s="17"/>
      <c r="J193" s="38">
        <f t="shared" si="34"/>
        <v>0</v>
      </c>
      <c r="K193" s="38">
        <f t="shared" si="36"/>
        <v>1.7771998266146515E-2</v>
      </c>
      <c r="L193" s="17" t="s">
        <v>199</v>
      </c>
      <c r="M193" s="43"/>
      <c r="N193" s="43"/>
      <c r="O193" s="43"/>
      <c r="P193" s="43"/>
      <c r="Q193" s="43"/>
      <c r="R193" s="43"/>
      <c r="S193" s="43"/>
    </row>
    <row r="194" spans="2:19" ht="15.75" hidden="1" outlineLevel="1" x14ac:dyDescent="0.3">
      <c r="B194" s="17"/>
      <c r="C194" s="17"/>
      <c r="D194" s="17" t="s">
        <v>57</v>
      </c>
      <c r="E194" s="17"/>
      <c r="F194" s="38">
        <f>IF(NOT(ISBLANK('Referenz Pflasterwerk'!$I$53)),'Referenz Pflasterwerk'!$I$53,'Referenz Pflasterwerk'!$F$53)*IF(NOT(ISBLANK('Referenz Pflasterwerk'!$I57)),'Referenz Pflasterwerk'!$I57,'Referenz Pflasterwerk'!$F57)*IF(NOT(ISBLANK('Eingabe EF'!$AA42)),'Eingabe EF'!$AA42,'Eingabe EF'!$Y42)*IF(NOT(ISBLANK('Referenz Pflasterwerk'!$I$12)),'Referenz Pflasterwerk'!$I$12,'Referenz Pflasterwerk'!$F$12)</f>
        <v>0</v>
      </c>
      <c r="G194" s="38">
        <f>IF(NOT(ISBLANK('Referenz Pflasterwerk'!$I$53)),'Referenz Pflasterwerk'!$I$53,'Referenz Pflasterwerk'!$F$53)*IF(NOT(ISBLANK('Referenz Pflasterwerk'!$I57)),'Referenz Pflasterwerk'!$I57,'Referenz Pflasterwerk'!$F57)*IF(NOT(ISBLANK('Eingabe EF'!$AE42)),'Eingabe EF'!$AE42,'Eingabe EF'!$AC42)*IF(NOT(ISBLANK('Referenz Pflasterwerk'!$I$12)),'Referenz Pflasterwerk'!$I$12,'Referenz Pflasterwerk'!$F$12)</f>
        <v>0</v>
      </c>
      <c r="H194" s="38">
        <f>IF(NOT(ISBLANK('Referenz Pflasterwerk'!$I$53)),'Referenz Pflasterwerk'!$I$53,'Referenz Pflasterwerk'!$F$53)*IF(NOT(ISBLANK('Referenz Pflasterwerk'!$I57)),'Referenz Pflasterwerk'!$I57,'Referenz Pflasterwerk'!$F57)*IF(NOT(ISBLANK('Eingabe EF'!$AI42)),'Eingabe EF'!$AI42,'Eingabe EF'!$AG42)*IF(NOT(ISBLANK('Referenz Pflasterwerk'!$I$12)),'Referenz Pflasterwerk'!$I$12,'Referenz Pflasterwerk'!$F$12)</f>
        <v>118.31946250541829</v>
      </c>
      <c r="I194" s="17"/>
      <c r="J194" s="38">
        <f t="shared" si="34"/>
        <v>0</v>
      </c>
      <c r="K194" s="38">
        <f t="shared" si="36"/>
        <v>118.31946250541829</v>
      </c>
      <c r="L194" s="17" t="s">
        <v>199</v>
      </c>
      <c r="M194" s="43"/>
      <c r="N194" s="43"/>
      <c r="O194" s="43"/>
      <c r="P194" s="43"/>
      <c r="Q194" s="43"/>
      <c r="R194" s="43"/>
      <c r="S194" s="43"/>
    </row>
    <row r="195" spans="2:19" hidden="1" outlineLevel="1" x14ac:dyDescent="0.2">
      <c r="B195" s="17"/>
      <c r="C195" s="17"/>
      <c r="D195" s="17"/>
      <c r="E195" s="17"/>
      <c r="F195" s="20"/>
      <c r="G195" s="20"/>
      <c r="H195" s="20"/>
      <c r="I195" s="17"/>
      <c r="J195" s="20"/>
      <c r="K195" s="20"/>
      <c r="L195" s="17"/>
      <c r="M195" s="43"/>
      <c r="N195" s="43"/>
      <c r="O195" s="43"/>
      <c r="P195" s="43"/>
      <c r="Q195" s="43"/>
      <c r="R195" s="43"/>
      <c r="S195" s="43"/>
    </row>
    <row r="196" spans="2:19" ht="14.25" hidden="1" outlineLevel="1" x14ac:dyDescent="0.25">
      <c r="B196" s="17"/>
      <c r="C196" s="17"/>
      <c r="D196" s="21" t="s">
        <v>113</v>
      </c>
      <c r="E196" s="21"/>
      <c r="F196" s="74">
        <f>IF(NOT(ISBLANK('Referenz Pflasterwerk'!$I59)),'Referenz Pflasterwerk'!$I59,'Referenz Pflasterwerk'!$F59)*IF(NOT(ISBLANK('Eingabe EF'!$AA44)),'Eingabe EF'!$AA44,0)*IF(NOT(ISBLANK('Referenz Pflasterwerk'!$I$12)),'Referenz Pflasterwerk'!$I$12,'Referenz Pflasterwerk'!$F$12)</f>
        <v>0</v>
      </c>
      <c r="G196" s="74">
        <f>IF(NOT(ISBLANK('Referenz Pflasterwerk'!$I59)),'Referenz Pflasterwerk'!$I59,'Referenz Pflasterwerk'!$F59)*IF(NOT(ISBLANK('Eingabe EF'!$AE44)),'Eingabe EF'!$AE44,0)*IF(NOT(ISBLANK('Referenz Pflasterwerk'!$I$12)),'Referenz Pflasterwerk'!$I$12,'Referenz Pflasterwerk'!$F$12)</f>
        <v>0</v>
      </c>
      <c r="H196" s="74">
        <f>IF(NOT(ISBLANK('Referenz Pflasterwerk'!$I59)),'Referenz Pflasterwerk'!$I59,'Referenz Pflasterwerk'!$F59)*IF(NOT(ISBLANK('Eingabe EF'!$AI44)),'Eingabe EF'!$AI44,0)*IF(NOT(ISBLANK('Referenz Pflasterwerk'!$I$12)),'Referenz Pflasterwerk'!$I$12,'Referenz Pflasterwerk'!$F$12)</f>
        <v>0</v>
      </c>
      <c r="I196" s="21"/>
      <c r="J196" s="74">
        <f>F196+G196</f>
        <v>0</v>
      </c>
      <c r="K196" s="74">
        <f>SUM(F196:H196)</f>
        <v>0</v>
      </c>
      <c r="L196" s="21" t="s">
        <v>198</v>
      </c>
      <c r="M196" s="43"/>
      <c r="N196" s="43"/>
      <c r="O196" s="43"/>
      <c r="P196" s="43"/>
      <c r="Q196" s="43"/>
      <c r="R196" s="43"/>
      <c r="S196" s="43"/>
    </row>
    <row r="197" spans="2:19" ht="14.25" hidden="1" outlineLevel="1" x14ac:dyDescent="0.25">
      <c r="B197" s="17"/>
      <c r="C197" s="17"/>
      <c r="D197" s="21" t="s">
        <v>65</v>
      </c>
      <c r="E197" s="21"/>
      <c r="F197" s="74">
        <f>IF(NOT(ISBLANK('Referenz Pflasterwerk'!$I60)),'Referenz Pflasterwerk'!$I60,'Referenz Pflasterwerk'!$F60)*IF(NOT(ISBLANK('Eingabe EF'!$AA45)),'Eingabe EF'!$AA45,'Eingabe EF'!$Y45)</f>
        <v>0</v>
      </c>
      <c r="G197" s="74">
        <f>IF(NOT(ISBLANK('Referenz Pflasterwerk'!$I60)),'Referenz Pflasterwerk'!$I60,'Referenz Pflasterwerk'!$F60)*IF(NOT(ISBLANK('Eingabe EF'!$AE45)),'Eingabe EF'!$AE45,'Eingabe EF'!$AC45)</f>
        <v>0</v>
      </c>
      <c r="H197" s="74">
        <f>IF(NOT(ISBLANK('Referenz Pflasterwerk'!$I60)),'Referenz Pflasterwerk'!$I60,'Referenz Pflasterwerk'!$F60)*IF(NOT(ISBLANK('Eingabe EF'!$AI45)),'Eingabe EF'!$AI45,'Eingabe EF'!$AG45)</f>
        <v>5.4399999999999997E-2</v>
      </c>
      <c r="I197" s="21"/>
      <c r="J197" s="74">
        <f>F197+G197</f>
        <v>0</v>
      </c>
      <c r="K197" s="74">
        <f>SUM(F197:H197)</f>
        <v>5.4399999999999997E-2</v>
      </c>
      <c r="L197" s="21" t="s">
        <v>198</v>
      </c>
      <c r="M197" s="43"/>
      <c r="N197" s="43"/>
      <c r="O197" s="43"/>
      <c r="P197" s="43"/>
      <c r="Q197" s="43"/>
      <c r="R197" s="43"/>
      <c r="S197" s="43"/>
    </row>
    <row r="198" spans="2:19" hidden="1" outlineLevel="1" x14ac:dyDescent="0.2">
      <c r="B198" s="17"/>
      <c r="C198" s="17"/>
      <c r="D198" s="17"/>
      <c r="E198" s="17"/>
      <c r="F198" s="20"/>
      <c r="G198" s="20"/>
      <c r="H198" s="20"/>
      <c r="I198" s="17"/>
      <c r="J198" s="20"/>
      <c r="K198" s="20"/>
      <c r="L198" s="17"/>
      <c r="M198" s="43"/>
      <c r="N198" s="43"/>
      <c r="O198" s="43"/>
      <c r="P198" s="43"/>
      <c r="Q198" s="43"/>
      <c r="R198" s="43"/>
      <c r="S198" s="43"/>
    </row>
    <row r="199" spans="2:19" ht="14.25" hidden="1" outlineLevel="1" x14ac:dyDescent="0.25">
      <c r="B199" s="69"/>
      <c r="C199" s="69" t="s">
        <v>183</v>
      </c>
      <c r="D199" s="70"/>
      <c r="E199" s="70"/>
      <c r="F199" s="71">
        <f>SUM(F200:F202)</f>
        <v>0</v>
      </c>
      <c r="G199" s="71">
        <f>SUM(G200:G202)</f>
        <v>0</v>
      </c>
      <c r="H199" s="71">
        <f>SUM(H200:H202)</f>
        <v>0</v>
      </c>
      <c r="I199" s="70"/>
      <c r="J199" s="71">
        <f t="shared" ref="J199:J202" si="37">F199+G199</f>
        <v>0</v>
      </c>
      <c r="K199" s="71">
        <f t="shared" ref="K199" si="38">SUM(F199:H199)</f>
        <v>0</v>
      </c>
      <c r="L199" s="76" t="s">
        <v>198</v>
      </c>
      <c r="M199" s="43"/>
      <c r="N199" s="43"/>
      <c r="O199" s="43"/>
      <c r="P199" s="43"/>
      <c r="Q199" s="43"/>
      <c r="R199" s="43"/>
      <c r="S199" s="43"/>
    </row>
    <row r="200" spans="2:19" ht="15.75" hidden="1" outlineLevel="1" x14ac:dyDescent="0.3">
      <c r="B200" s="17"/>
      <c r="C200" s="17"/>
      <c r="D200" s="17" t="s">
        <v>184</v>
      </c>
      <c r="E200" s="17"/>
      <c r="F200" s="38">
        <f>IF(NOT(ISBLANK('Referenz Pflasterwerk'!$I63)),'Referenz Pflasterwerk'!$I63,'Referenz Pflasterwerk'!$F63)*IF(NOT(ISBLANK('Eingabe EF'!$AA48)),'Eingabe EF'!$AA48,0)*IF(NOT(ISBLANK('Referenz Pflasterwerk'!$I$12)),'Referenz Pflasterwerk'!$I$12,'Referenz Pflasterwerk'!$F$12)</f>
        <v>0</v>
      </c>
      <c r="G200" s="38">
        <f>IF(NOT(ISBLANK('Referenz Pflasterwerk'!$I63)),'Referenz Pflasterwerk'!$I63,'Referenz Pflasterwerk'!$F63)*IF(NOT(ISBLANK('Eingabe EF'!$AE48)),'Eingabe EF'!$AE48,0)*IF(NOT(ISBLANK('Referenz Pflasterwerk'!$I$12)),'Referenz Pflasterwerk'!$I$12,'Referenz Pflasterwerk'!$F$12)</f>
        <v>0</v>
      </c>
      <c r="H200" s="38">
        <f>IF(NOT(ISBLANK('Referenz Pflasterwerk'!$I63)),'Referenz Pflasterwerk'!$I63,'Referenz Pflasterwerk'!$F63)*IF(NOT(ISBLANK('Eingabe EF'!$AI48)),'Eingabe EF'!$AI48,0)*IF(NOT(ISBLANK('Referenz Pflasterwerk'!$I$12)),'Referenz Pflasterwerk'!$I$12,'Referenz Pflasterwerk'!$F$12)</f>
        <v>0</v>
      </c>
      <c r="I200" s="17"/>
      <c r="J200" s="38">
        <f t="shared" si="37"/>
        <v>0</v>
      </c>
      <c r="K200" s="38">
        <f t="shared" ref="K200:K202" si="39">SUM(F200:H200)</f>
        <v>0</v>
      </c>
      <c r="L200" s="17" t="s">
        <v>199</v>
      </c>
      <c r="M200" s="43"/>
      <c r="N200" s="43"/>
      <c r="O200" s="43"/>
      <c r="P200" s="43"/>
      <c r="Q200" s="43"/>
      <c r="R200" s="43"/>
      <c r="S200" s="43"/>
    </row>
    <row r="201" spans="2:19" ht="15.75" hidden="1" outlineLevel="1" x14ac:dyDescent="0.3">
      <c r="B201" s="17"/>
      <c r="C201" s="17"/>
      <c r="D201" s="17" t="s">
        <v>63</v>
      </c>
      <c r="E201" s="17"/>
      <c r="F201" s="38">
        <f>IF(NOT(ISBLANK('Referenz Pflasterwerk'!$I64)),'Referenz Pflasterwerk'!$I64,'Referenz Pflasterwerk'!$F64)*IF(NOT(ISBLANK('Eingabe EF'!$AA49)),'Eingabe EF'!$AA49,'Eingabe EF'!$Y49)*IF(NOT(ISBLANK('Referenz Pflasterwerk'!$I$12)),'Referenz Pflasterwerk'!$I$12,'Referenz Pflasterwerk'!$F$12)</f>
        <v>0</v>
      </c>
      <c r="G201" s="38">
        <f>IF(NOT(ISBLANK('Referenz Pflasterwerk'!$I64)),'Referenz Pflasterwerk'!$I64,'Referenz Pflasterwerk'!$F64)*IF(NOT(ISBLANK('Eingabe EF'!$AE49)),'Eingabe EF'!$AE49,'Eingabe EF'!$AC49)*IF(NOT(ISBLANK('Referenz Pflasterwerk'!$I$12)),'Referenz Pflasterwerk'!$I$12,'Referenz Pflasterwerk'!$F$12)</f>
        <v>0</v>
      </c>
      <c r="H201" s="38">
        <f>IF(NOT(ISBLANK('Referenz Pflasterwerk'!$I64)),'Referenz Pflasterwerk'!$I64,'Referenz Pflasterwerk'!$F64)*IF(NOT(ISBLANK('Eingabe EF'!$AI49)),'Eingabe EF'!$AI49,'Eingabe EF'!$AG49)*IF(NOT(ISBLANK('Referenz Pflasterwerk'!$I$12)),'Referenz Pflasterwerk'!$I$12,'Referenz Pflasterwerk'!$F$12)</f>
        <v>0</v>
      </c>
      <c r="I201" s="17"/>
      <c r="J201" s="38">
        <f t="shared" si="37"/>
        <v>0</v>
      </c>
      <c r="K201" s="38">
        <f t="shared" si="39"/>
        <v>0</v>
      </c>
      <c r="L201" s="17" t="s">
        <v>199</v>
      </c>
      <c r="M201" s="43"/>
      <c r="N201" s="43"/>
      <c r="O201" s="43"/>
      <c r="P201" s="43"/>
      <c r="Q201" s="43"/>
      <c r="R201" s="43"/>
      <c r="S201" s="43"/>
    </row>
    <row r="202" spans="2:19" ht="15.75" hidden="1" outlineLevel="1" x14ac:dyDescent="0.3">
      <c r="B202" s="17"/>
      <c r="C202" s="17"/>
      <c r="D202" s="17" t="s">
        <v>185</v>
      </c>
      <c r="E202" s="17"/>
      <c r="F202" s="38">
        <f>IF(NOT(ISBLANK('Referenz Pflasterwerk'!$I65)),'Referenz Pflasterwerk'!$I65,'Referenz Pflasterwerk'!$F65)*IF(NOT(ISBLANK('Eingabe EF'!$AA50)),'Eingabe EF'!$AA50,0)*IF(NOT(ISBLANK('Referenz Pflasterwerk'!$I$12)),'Referenz Pflasterwerk'!$I$12,'Referenz Pflasterwerk'!$F$12)</f>
        <v>0</v>
      </c>
      <c r="G202" s="38">
        <f>IF(NOT(ISBLANK('Referenz Pflasterwerk'!$I65)),'Referenz Pflasterwerk'!$I65,'Referenz Pflasterwerk'!$F65)*IF(NOT(ISBLANK('Eingabe EF'!$AE50)),'Eingabe EF'!$AE50,0)*IF(NOT(ISBLANK('Referenz Pflasterwerk'!$I$12)),'Referenz Pflasterwerk'!$I$12,'Referenz Pflasterwerk'!$F$12)</f>
        <v>0</v>
      </c>
      <c r="H202" s="38">
        <f>IF(NOT(ISBLANK('Referenz Pflasterwerk'!$I65)),'Referenz Pflasterwerk'!$I65,'Referenz Pflasterwerk'!$F65)*IF(NOT(ISBLANK('Eingabe EF'!$AI50)),'Eingabe EF'!$AI50,0)*IF(NOT(ISBLANK('Referenz Pflasterwerk'!$I$12)),'Referenz Pflasterwerk'!$I$12,'Referenz Pflasterwerk'!$F$12)</f>
        <v>0</v>
      </c>
      <c r="I202" s="17"/>
      <c r="J202" s="38">
        <f t="shared" si="37"/>
        <v>0</v>
      </c>
      <c r="K202" s="38">
        <f t="shared" si="39"/>
        <v>0</v>
      </c>
      <c r="L202" s="17" t="s">
        <v>199</v>
      </c>
      <c r="M202" s="43"/>
      <c r="N202" s="43"/>
      <c r="O202" s="43"/>
      <c r="P202" s="43"/>
      <c r="Q202" s="43"/>
      <c r="R202" s="43"/>
      <c r="S202" s="43"/>
    </row>
    <row r="203" spans="2:19" hidden="1" outlineLevel="1" x14ac:dyDescent="0.2">
      <c r="B203" s="17"/>
      <c r="C203" s="17"/>
      <c r="D203" s="17"/>
      <c r="E203" s="17"/>
      <c r="F203" s="20"/>
      <c r="G203" s="20"/>
      <c r="H203" s="20"/>
      <c r="I203" s="17"/>
      <c r="J203" s="17"/>
      <c r="K203" s="17"/>
      <c r="L203" s="20"/>
      <c r="M203" s="43"/>
      <c r="N203" s="43"/>
      <c r="O203" s="43"/>
      <c r="P203" s="43"/>
      <c r="Q203" s="43"/>
      <c r="R203" s="43"/>
      <c r="S203" s="43"/>
    </row>
    <row r="204" spans="2:19" ht="14.25" hidden="1" outlineLevel="1" x14ac:dyDescent="0.25">
      <c r="B204" s="69"/>
      <c r="C204" s="69" t="s">
        <v>186</v>
      </c>
      <c r="D204" s="70"/>
      <c r="E204" s="70"/>
      <c r="F204" s="71">
        <f>SUM(F205:F207)</f>
        <v>0</v>
      </c>
      <c r="G204" s="71">
        <f>SUM(G205:G207)</f>
        <v>0</v>
      </c>
      <c r="H204" s="71">
        <f>SUM(H205:H207)</f>
        <v>0</v>
      </c>
      <c r="I204" s="70"/>
      <c r="J204" s="71">
        <f>F204+G204</f>
        <v>0</v>
      </c>
      <c r="K204" s="71">
        <f t="shared" ref="K204" si="40">SUM(F204:H204)</f>
        <v>0</v>
      </c>
      <c r="L204" s="76" t="s">
        <v>198</v>
      </c>
      <c r="M204" s="43"/>
      <c r="N204" s="43"/>
      <c r="O204" s="43"/>
      <c r="P204" s="43"/>
      <c r="Q204" s="43"/>
      <c r="R204" s="43"/>
      <c r="S204" s="43"/>
    </row>
    <row r="205" spans="2:19" ht="15.75" hidden="1" outlineLevel="1" x14ac:dyDescent="0.3">
      <c r="B205" s="17"/>
      <c r="C205" s="17"/>
      <c r="D205" s="17" t="s">
        <v>67</v>
      </c>
      <c r="E205" s="17"/>
      <c r="F205" s="38">
        <f>IF(NOT(ISBLANK('Referenz Pflasterwerk'!$I68)),'Referenz Pflasterwerk'!$I68,'Referenz Pflasterwerk'!$F68)*IF(NOT(ISBLANK('Eingabe EF'!$AA53)),'Eingabe EF'!$AA53,'Eingabe EF'!$Y53)</f>
        <v>0</v>
      </c>
      <c r="G205" s="38">
        <f>IF(NOT(ISBLANK('Referenz Pflasterwerk'!$I68)),'Referenz Pflasterwerk'!$I68,'Referenz Pflasterwerk'!$F68)*IF(NOT(ISBLANK('Eingabe EF'!$AE53)),'Eingabe EF'!$AE53,'Eingabe EF'!$AC53)</f>
        <v>0</v>
      </c>
      <c r="H205" s="38">
        <f>IF(NOT(ISBLANK('Referenz Pflasterwerk'!$I68)),'Referenz Pflasterwerk'!$I68,'Referenz Pflasterwerk'!$F68)*IF(NOT(ISBLANK('Eingabe EF'!$AI53)),'Eingabe EF'!$AI53,'Eingabe EF'!$AG53)</f>
        <v>0</v>
      </c>
      <c r="I205" s="17"/>
      <c r="J205" s="38">
        <f>F205+G205</f>
        <v>0</v>
      </c>
      <c r="K205" s="38">
        <f>SUM(F205:H205)</f>
        <v>0</v>
      </c>
      <c r="L205" s="17" t="s">
        <v>199</v>
      </c>
      <c r="M205" s="43"/>
      <c r="N205" s="43"/>
      <c r="O205" s="43"/>
      <c r="P205" s="43"/>
      <c r="Q205" s="43"/>
      <c r="R205" s="43"/>
      <c r="S205" s="43"/>
    </row>
    <row r="206" spans="2:19" ht="15.75" hidden="1" outlineLevel="1" x14ac:dyDescent="0.3">
      <c r="B206" s="17"/>
      <c r="C206" s="17"/>
      <c r="D206" s="17" t="s">
        <v>188</v>
      </c>
      <c r="E206" s="17"/>
      <c r="F206" s="38">
        <f>IF(NOT(ISBLANK('Referenz Pflasterwerk'!$I69)),'Referenz Pflasterwerk'!$I69,'Referenz Pflasterwerk'!$F69)*IF(NOT(ISBLANK('Eingabe EF'!$AA54)),'Eingabe EF'!$AA54,0)</f>
        <v>0</v>
      </c>
      <c r="G206" s="38">
        <f>IF(NOT(ISBLANK('Referenz Pflasterwerk'!$I69)),'Referenz Pflasterwerk'!$I69,'Referenz Pflasterwerk'!$F69)*IF(NOT(ISBLANK('Eingabe EF'!$AE54)),'Eingabe EF'!$AE54,0)</f>
        <v>0</v>
      </c>
      <c r="H206" s="38">
        <f>IF(NOT(ISBLANK('Referenz Pflasterwerk'!$I69)),'Referenz Pflasterwerk'!$I69,'Referenz Pflasterwerk'!$F69)*IF(NOT(ISBLANK('Eingabe EF'!$AI54)),'Eingabe EF'!$AI54,0)</f>
        <v>0</v>
      </c>
      <c r="I206" s="17"/>
      <c r="J206" s="38">
        <f t="shared" ref="J206:J207" si="41">F206+G206</f>
        <v>0</v>
      </c>
      <c r="K206" s="38">
        <f t="shared" ref="K206:K207" si="42">SUM(F206:H206)</f>
        <v>0</v>
      </c>
      <c r="L206" s="17" t="s">
        <v>199</v>
      </c>
      <c r="M206" s="43"/>
      <c r="N206" s="43"/>
      <c r="O206" s="43"/>
      <c r="P206" s="43"/>
      <c r="Q206" s="43"/>
      <c r="R206" s="43"/>
      <c r="S206" s="43"/>
    </row>
    <row r="207" spans="2:19" ht="15.75" hidden="1" outlineLevel="1" x14ac:dyDescent="0.3">
      <c r="B207" s="17"/>
      <c r="C207" s="17"/>
      <c r="D207" s="17" t="s">
        <v>187</v>
      </c>
      <c r="E207" s="17"/>
      <c r="F207" s="38">
        <f>IF(NOT(ISBLANK('Referenz Pflasterwerk'!$I70)),'Referenz Pflasterwerk'!$I70,'Referenz Pflasterwerk'!$F70)*IF(NOT(ISBLANK('Eingabe EF'!$AA55)),'Eingabe EF'!$AA55,0)</f>
        <v>0</v>
      </c>
      <c r="G207" s="38">
        <f>IF(NOT(ISBLANK('Referenz Pflasterwerk'!$I70)),'Referenz Pflasterwerk'!$I70,'Referenz Pflasterwerk'!$F70)*IF(NOT(ISBLANK('Eingabe EF'!$AE55)),'Eingabe EF'!$AE55,0)</f>
        <v>0</v>
      </c>
      <c r="H207" s="38">
        <f>IF(NOT(ISBLANK('Referenz Pflasterwerk'!$I70)),'Referenz Pflasterwerk'!$I70,'Referenz Pflasterwerk'!$F70)*IF(NOT(ISBLANK('Eingabe EF'!$AI55)),'Eingabe EF'!$AI55,0)</f>
        <v>0</v>
      </c>
      <c r="I207" s="17"/>
      <c r="J207" s="38">
        <f t="shared" si="41"/>
        <v>0</v>
      </c>
      <c r="K207" s="38">
        <f t="shared" si="42"/>
        <v>0</v>
      </c>
      <c r="L207" s="17" t="s">
        <v>199</v>
      </c>
      <c r="M207" s="43"/>
      <c r="N207" s="43"/>
      <c r="O207" s="43"/>
      <c r="P207" s="43"/>
      <c r="Q207" s="43"/>
      <c r="R207" s="43"/>
      <c r="S207" s="43"/>
    </row>
    <row r="208" spans="2:19" hidden="1" outlineLevel="1" x14ac:dyDescent="0.2">
      <c r="B208" s="17"/>
      <c r="C208" s="17"/>
      <c r="D208" s="17"/>
      <c r="E208" s="17"/>
      <c r="F208" s="20"/>
      <c r="G208" s="20"/>
      <c r="H208" s="20"/>
      <c r="I208" s="17"/>
      <c r="J208" s="17"/>
      <c r="K208" s="17"/>
      <c r="L208" s="20"/>
      <c r="M208" s="43"/>
      <c r="N208" s="43"/>
      <c r="O208" s="43"/>
      <c r="P208" s="43"/>
      <c r="Q208" s="43"/>
      <c r="R208" s="43"/>
      <c r="S208" s="43"/>
    </row>
    <row r="209" spans="2:20" ht="14.25" hidden="1" outlineLevel="1" x14ac:dyDescent="0.25">
      <c r="B209" s="17"/>
      <c r="C209" s="17"/>
      <c r="D209" s="21" t="s">
        <v>64</v>
      </c>
      <c r="E209" s="21"/>
      <c r="F209" s="74">
        <f>IF(NOT(ISBLANK('Referenz Pflasterwerk'!$I72)),'Referenz Pflasterwerk'!$I72,'Referenz Pflasterwerk'!$F72)*IF(NOT(ISBLANK('Eingabe EF'!$AA57)),'Eingabe EF'!$AA57,'Eingabe EF'!$Y57)</f>
        <v>0</v>
      </c>
      <c r="G209" s="74">
        <f>IF(NOT(ISBLANK('Referenz Pflasterwerk'!$I72)),'Referenz Pflasterwerk'!$I72,'Referenz Pflasterwerk'!$F72)*IF(NOT(ISBLANK('Eingabe EF'!$AE57)),'Eingabe EF'!$AE57,'Eingabe EF'!$AC57)</f>
        <v>0</v>
      </c>
      <c r="H209" s="74">
        <f>IF(NOT(ISBLANK('Referenz Pflasterwerk'!$I72)),'Referenz Pflasterwerk'!$I72,'Referenz Pflasterwerk'!$F72)*IF(NOT(ISBLANK('Eingabe EF'!$AI57)),'Eingabe EF'!$AI57,'Eingabe EF'!$AG57)</f>
        <v>161.20000000000002</v>
      </c>
      <c r="I209" s="21"/>
      <c r="J209" s="74">
        <f t="shared" ref="J209" si="43">F209+G209</f>
        <v>0</v>
      </c>
      <c r="K209" s="74">
        <f t="shared" ref="K209" si="44">SUM(F209:H209)</f>
        <v>161.20000000000002</v>
      </c>
      <c r="L209" s="21" t="s">
        <v>198</v>
      </c>
      <c r="M209" s="43"/>
      <c r="N209" s="43"/>
      <c r="O209" s="43"/>
      <c r="P209" s="43"/>
      <c r="Q209" s="43"/>
      <c r="R209" s="43"/>
      <c r="S209" s="43"/>
    </row>
    <row r="210" spans="2:20" hidden="1" outlineLevel="1" x14ac:dyDescent="0.2">
      <c r="B210" s="17"/>
      <c r="C210" s="17"/>
      <c r="D210" s="17"/>
      <c r="E210" s="17"/>
      <c r="F210" s="20"/>
      <c r="G210" s="20"/>
      <c r="H210" s="20"/>
      <c r="I210" s="17"/>
      <c r="J210" s="17"/>
      <c r="K210" s="17"/>
      <c r="L210" s="20"/>
      <c r="M210" s="43"/>
      <c r="N210" s="43"/>
      <c r="O210" s="43"/>
      <c r="P210" s="43"/>
      <c r="Q210" s="43"/>
      <c r="R210" s="43"/>
      <c r="S210" s="43"/>
    </row>
    <row r="211" spans="2:20" ht="15" hidden="1" outlineLevel="1" thickBot="1" x14ac:dyDescent="0.3">
      <c r="B211" s="17"/>
      <c r="C211" s="17"/>
      <c r="D211" s="67" t="s">
        <v>70</v>
      </c>
      <c r="E211" s="67"/>
      <c r="F211" s="68">
        <f>SUM(F154:F209)-F168-F172-F178-F185-F190-F199-F204</f>
        <v>102.34794326399999</v>
      </c>
      <c r="G211" s="68">
        <f>SUM(G154:G209)-G168-G172-G178-G185-G190-G199-G204</f>
        <v>208.15407848118898</v>
      </c>
      <c r="H211" s="68">
        <f>SUM(H154:H209)-H168-H172-H178-H185-H190-H199-H204</f>
        <v>10508.386296129085</v>
      </c>
      <c r="I211" s="21"/>
      <c r="J211" s="68">
        <f t="shared" ref="J211" si="45">SUM(J154:J209)-J168-J172-J178-J185-J190-J199-J204</f>
        <v>310.50202174518898</v>
      </c>
      <c r="K211" s="68">
        <f>SUM(K154:K209)-K168-K172-K178-K185-K190-K199-K204</f>
        <v>10818.888317874274</v>
      </c>
      <c r="L211" s="68" t="s">
        <v>198</v>
      </c>
      <c r="M211" s="43"/>
      <c r="N211" s="43"/>
      <c r="O211" s="43"/>
      <c r="P211" s="43"/>
      <c r="Q211" s="43"/>
      <c r="R211" s="43"/>
      <c r="S211" s="43"/>
    </row>
    <row r="212" spans="2:20" ht="13.5" hidden="1" outlineLevel="1" thickTop="1" x14ac:dyDescent="0.2">
      <c r="B212" s="17"/>
      <c r="C212" s="17"/>
      <c r="D212" s="17"/>
      <c r="E212" s="17"/>
      <c r="F212" s="20"/>
      <c r="G212" s="20"/>
      <c r="H212" s="20"/>
      <c r="I212" s="17"/>
      <c r="J212" s="17"/>
      <c r="K212" s="17"/>
      <c r="L212" s="20"/>
      <c r="M212" s="43"/>
      <c r="N212" s="43"/>
      <c r="O212" s="43"/>
      <c r="P212" s="43"/>
      <c r="Q212" s="43"/>
      <c r="R212" s="43"/>
      <c r="S212" s="43"/>
    </row>
    <row r="213" spans="2:20" collapsed="1" x14ac:dyDescent="0.2"/>
    <row r="215" spans="2:20" ht="15.75" hidden="1" outlineLevel="1" x14ac:dyDescent="0.25">
      <c r="B215" s="22"/>
      <c r="C215" s="22" t="s">
        <v>117</v>
      </c>
      <c r="D215" s="17"/>
      <c r="E215" s="17"/>
      <c r="F215" s="17"/>
      <c r="G215" s="17"/>
      <c r="H215" s="17"/>
      <c r="I215" s="17"/>
      <c r="J215" s="17"/>
      <c r="K215" s="17"/>
      <c r="L215" s="17"/>
      <c r="N215" s="22" t="s">
        <v>120</v>
      </c>
      <c r="O215" s="17"/>
      <c r="P215" s="17"/>
      <c r="Q215" s="17"/>
      <c r="R215" s="17"/>
      <c r="S215" s="17"/>
      <c r="T215" s="17"/>
    </row>
    <row r="216" spans="2:20" ht="15" hidden="1" outlineLevel="1" x14ac:dyDescent="0.25">
      <c r="B216" s="64"/>
      <c r="C216" s="64">
        <v>2030</v>
      </c>
      <c r="D216" s="25"/>
      <c r="E216" s="25"/>
      <c r="F216" s="25"/>
      <c r="G216" s="25"/>
      <c r="H216" s="25"/>
      <c r="I216" s="25"/>
      <c r="J216" s="25"/>
      <c r="K216" s="25"/>
      <c r="L216" s="25"/>
      <c r="N216" s="64">
        <v>2030</v>
      </c>
      <c r="O216" s="17"/>
      <c r="P216" s="17"/>
      <c r="Q216" s="17"/>
      <c r="R216" s="17"/>
      <c r="S216" s="17"/>
      <c r="T216" s="17"/>
    </row>
    <row r="217" spans="2:20" ht="15" hidden="1" outlineLevel="1" x14ac:dyDescent="0.25">
      <c r="B217" s="64"/>
      <c r="C217" s="17"/>
      <c r="D217" s="17" t="s">
        <v>230</v>
      </c>
      <c r="E217" s="42">
        <f>IF(NOT(ISBLANK(K23)),K23,I23)-IF(NOT(ISBLANK(G23)),G23,E23)</f>
        <v>5</v>
      </c>
      <c r="F217" s="17"/>
      <c r="G217" s="17"/>
      <c r="H217" s="17"/>
      <c r="I217" s="17"/>
      <c r="J217" s="17"/>
      <c r="K217" s="17"/>
      <c r="L217" s="17"/>
      <c r="N217" s="17"/>
      <c r="O217" s="17"/>
      <c r="P217" s="17"/>
      <c r="Q217" s="17"/>
      <c r="R217" s="17"/>
      <c r="S217" s="17"/>
      <c r="T217" s="17"/>
    </row>
    <row r="218" spans="2:20" ht="15" hidden="1" outlineLevel="1" x14ac:dyDescent="0.25">
      <c r="B218" s="64"/>
      <c r="C218" s="17"/>
      <c r="D218" s="17" t="s">
        <v>238</v>
      </c>
      <c r="E218" s="42">
        <f>E148*($E$17-$E$25)+E217*(E17-I25)</f>
        <v>3200</v>
      </c>
      <c r="F218" s="20" t="s">
        <v>237</v>
      </c>
      <c r="G218" s="17"/>
      <c r="H218" s="17"/>
      <c r="I218" s="17"/>
      <c r="J218" s="17"/>
      <c r="K218" s="17"/>
      <c r="L218" s="17"/>
      <c r="N218" s="17"/>
      <c r="O218" s="17"/>
      <c r="P218" s="17"/>
      <c r="Q218" s="17"/>
      <c r="R218" s="17"/>
      <c r="S218" s="17"/>
      <c r="T218" s="17"/>
    </row>
    <row r="219" spans="2:20" hidden="1" outlineLevel="1" x14ac:dyDescent="0.2">
      <c r="B219" s="17"/>
      <c r="C219" s="17"/>
      <c r="D219" s="17"/>
      <c r="E219" s="66"/>
      <c r="F219" s="20"/>
      <c r="G219" s="17"/>
      <c r="H219" s="17"/>
      <c r="I219" s="17"/>
      <c r="J219" s="17"/>
      <c r="K219" s="17"/>
      <c r="L219" s="17"/>
      <c r="N219" s="17"/>
      <c r="O219" s="17"/>
      <c r="P219" s="17"/>
      <c r="Q219" s="17"/>
      <c r="R219" s="17"/>
      <c r="S219" s="17"/>
      <c r="T219" s="17"/>
    </row>
    <row r="220" spans="2:20" ht="25.5" hidden="1" outlineLevel="1" x14ac:dyDescent="0.2">
      <c r="B220" s="17"/>
      <c r="C220" s="17"/>
      <c r="D220" s="17"/>
      <c r="E220" s="17"/>
      <c r="F220" s="36" t="s">
        <v>27</v>
      </c>
      <c r="G220" s="36" t="s">
        <v>85</v>
      </c>
      <c r="H220" s="36" t="s">
        <v>29</v>
      </c>
      <c r="I220" s="17"/>
      <c r="J220" s="40" t="s">
        <v>114</v>
      </c>
      <c r="K220" s="41" t="s">
        <v>40</v>
      </c>
      <c r="L220" s="17"/>
      <c r="N220" s="17"/>
      <c r="O220" s="17"/>
      <c r="P220" s="17"/>
      <c r="Q220" s="18"/>
      <c r="R220" s="17"/>
      <c r="S220" s="18"/>
      <c r="T220" s="18"/>
    </row>
    <row r="221" spans="2:20" ht="14.25" hidden="1" outlineLevel="1" x14ac:dyDescent="0.25">
      <c r="B221" s="76"/>
      <c r="C221" s="76" t="s">
        <v>191</v>
      </c>
      <c r="D221" s="76"/>
      <c r="E221" s="76"/>
      <c r="F221" s="77">
        <f>SUM(F223:F236)</f>
        <v>98.095006368</v>
      </c>
      <c r="G221" s="77">
        <f>SUM(G223:G236)</f>
        <v>102.58759141018427</v>
      </c>
      <c r="H221" s="77">
        <f>SUM(H223:H236)</f>
        <v>32.249194524047951</v>
      </c>
      <c r="I221" s="76"/>
      <c r="J221" s="77">
        <f>F221+G221</f>
        <v>200.68259777818429</v>
      </c>
      <c r="K221" s="77">
        <f>SUM(F221:H221)</f>
        <v>232.93179230223222</v>
      </c>
      <c r="L221" s="76" t="s">
        <v>198</v>
      </c>
      <c r="N221" s="17"/>
      <c r="O221" s="17"/>
      <c r="P221" s="17"/>
      <c r="Q221" s="18"/>
      <c r="R221" s="17"/>
      <c r="S221" s="18"/>
      <c r="T221" s="18"/>
    </row>
    <row r="222" spans="2:20" hidden="1" outlineLevel="1" x14ac:dyDescent="0.2">
      <c r="B222" s="17"/>
      <c r="C222" s="17" t="s">
        <v>148</v>
      </c>
      <c r="D222" s="17"/>
      <c r="E222" s="17"/>
      <c r="F222" s="17"/>
      <c r="G222" s="17"/>
      <c r="H222" s="17"/>
      <c r="I222" s="17"/>
      <c r="J222" s="17"/>
      <c r="K222" s="17"/>
      <c r="L222" s="17"/>
      <c r="N222" s="17" t="s">
        <v>148</v>
      </c>
      <c r="O222" s="17"/>
      <c r="P222" s="17"/>
      <c r="Q222" s="18"/>
      <c r="R222" s="17"/>
      <c r="S222" s="18"/>
      <c r="T222" s="18"/>
    </row>
    <row r="223" spans="2:20" ht="15.75" hidden="1" outlineLevel="1" x14ac:dyDescent="0.3">
      <c r="B223" s="17"/>
      <c r="C223" s="17"/>
      <c r="D223" s="17" t="s">
        <v>128</v>
      </c>
      <c r="E223" s="17"/>
      <c r="F223" s="38">
        <f>IF(NOT(ISBLANK('Referenz Pflasterwerk'!$I16)),'Referenz Pflasterwerk'!$I16,'Referenz Pflasterwerk'!$F16)*IF(NOT(ISBLANK('Eingabe EF'!$AS9)),'Eingabe EF'!$AS9,'Eingabe EF'!$AQ9)</f>
        <v>1.6484399999999999</v>
      </c>
      <c r="G223" s="38">
        <f>IF(NOT(ISBLANK('Referenz Pflasterwerk'!$I16)),'Referenz Pflasterwerk'!$I16,'Referenz Pflasterwerk'!$F16)*IF(NOT(ISBLANK('Eingabe EF'!$AW9)),'Eingabe EF'!$AW9,'Eingabe EF'!$AU9)</f>
        <v>0</v>
      </c>
      <c r="H223" s="38">
        <f>IF(NOT(ISBLANK('Referenz Pflasterwerk'!$I16)),'Referenz Pflasterwerk'!$I16,'Referenz Pflasterwerk'!$F16)*IF(NOT(ISBLANK('Eingabe EF'!$BA9)),'Eingabe EF'!$BA9,'Eingabe EF'!$AY9)</f>
        <v>0.28215000000000001</v>
      </c>
      <c r="I223" s="17"/>
      <c r="J223" s="38">
        <f>F223+G223</f>
        <v>1.6484399999999999</v>
      </c>
      <c r="K223" s="38">
        <f>SUM(F223:H223)</f>
        <v>1.93059</v>
      </c>
      <c r="L223" s="17" t="s">
        <v>199</v>
      </c>
      <c r="N223" s="17"/>
      <c r="O223" s="17" t="s">
        <v>128</v>
      </c>
      <c r="P223" s="17"/>
      <c r="Q223" s="19"/>
      <c r="R223" s="17"/>
      <c r="S223" s="42">
        <f>IF(NOT(ISBLANK('Referenz Pflasterwerk'!$I16)),'Referenz Pflasterwerk'!$I16,'Referenz Pflasterwerk'!$F16)/1000*IF(NOT(ISBLANK('Eingabe Preise'!$O10)),'Eingabe Preise'!$O10,'Eingabe Preise'!$M10)</f>
        <v>549</v>
      </c>
      <c r="T223" s="20" t="s">
        <v>109</v>
      </c>
    </row>
    <row r="224" spans="2:20" ht="15.75" hidden="1" outlineLevel="1" x14ac:dyDescent="0.3">
      <c r="B224" s="17"/>
      <c r="C224" s="17"/>
      <c r="D224" s="17" t="s">
        <v>166</v>
      </c>
      <c r="E224" s="17"/>
      <c r="F224" s="38">
        <f>IF(NOT(ISBLANK('Referenz Pflasterwerk'!$I17)),'Referenz Pflasterwerk'!$I17,'Referenz Pflasterwerk'!$F17)*IF(NOT(ISBLANK('Eingabe EF'!$AS10)),'Eingabe EF'!$AS10,'Eingabe EF'!$AQ10)</f>
        <v>0.53351999999999999</v>
      </c>
      <c r="G224" s="38">
        <f>IF(NOT(ISBLANK('Referenz Pflasterwerk'!$I17)),'Referenz Pflasterwerk'!$I17,'Referenz Pflasterwerk'!$F17)*IF(NOT(ISBLANK('Eingabe EF'!$AW10)),'Eingabe EF'!$AW10,'Eingabe EF'!$AU10)</f>
        <v>0</v>
      </c>
      <c r="H224" s="38">
        <f>IF(NOT(ISBLANK('Referenz Pflasterwerk'!$I17)),'Referenz Pflasterwerk'!$I17,'Referenz Pflasterwerk'!$F17)*IF(NOT(ISBLANK('Eingabe EF'!$BA10)),'Eingabe EF'!$BA10,'Eingabe EF'!$AY10)</f>
        <v>7.9152E-2</v>
      </c>
      <c r="I224" s="17"/>
      <c r="J224" s="38">
        <f>F224+G224</f>
        <v>0.53351999999999999</v>
      </c>
      <c r="K224" s="38">
        <f>SUM(F224:H224)</f>
        <v>0.61267199999999999</v>
      </c>
      <c r="L224" s="17" t="s">
        <v>199</v>
      </c>
      <c r="N224" s="17"/>
      <c r="O224" s="17" t="s">
        <v>166</v>
      </c>
      <c r="P224" s="17"/>
      <c r="Q224" s="20"/>
      <c r="R224" s="17"/>
      <c r="S224" s="42">
        <f>IF(NOT(ISBLANK('Referenz Pflasterwerk'!$I17)),'Referenz Pflasterwerk'!$I17,'Referenz Pflasterwerk'!$F17)/1000*IF(NOT(ISBLANK('Eingabe Preise'!$O11)),'Eingabe Preise'!$O11,'Eingabe Preise'!$M11)</f>
        <v>92</v>
      </c>
      <c r="T224" s="20" t="s">
        <v>109</v>
      </c>
    </row>
    <row r="225" spans="2:20" ht="15.75" hidden="1" outlineLevel="1" x14ac:dyDescent="0.3">
      <c r="B225" s="17"/>
      <c r="C225" s="17"/>
      <c r="D225" s="17" t="s">
        <v>154</v>
      </c>
      <c r="E225" s="17"/>
      <c r="F225" s="38">
        <f>IF(NOT(ISBLANK('Referenz Pflasterwerk'!$I18)),'Referenz Pflasterwerk'!$I18,'Referenz Pflasterwerk'!$F18)*IF(NOT(ISBLANK('Eingabe EF'!$AS11)),'Eingabe EF'!$AS11,'Eingabe EF'!$AQ11)</f>
        <v>0</v>
      </c>
      <c r="G225" s="38">
        <f>IF(NOT(ISBLANK('Referenz Pflasterwerk'!$I18)),'Referenz Pflasterwerk'!$I18,'Referenz Pflasterwerk'!$F18)*IF(NOT(ISBLANK('Eingabe EF'!$AW11)),'Eingabe EF'!$AW11,'Eingabe EF'!$AU11)</f>
        <v>20.517518282036853</v>
      </c>
      <c r="H225" s="38">
        <f>IF(NOT(ISBLANK('Referenz Pflasterwerk'!$I18)),'Referenz Pflasterwerk'!$I18,'Referenz Pflasterwerk'!$F18)*IF(NOT(ISBLANK('Eingabe EF'!$BA11)),'Eingabe EF'!$BA11,'Eingabe EF'!$AY11)</f>
        <v>3.0078037272095908</v>
      </c>
      <c r="I225" s="17"/>
      <c r="J225" s="38">
        <f>F225+G225</f>
        <v>20.517518282036853</v>
      </c>
      <c r="K225" s="38">
        <f>SUM(F225:H225)</f>
        <v>23.525322009246445</v>
      </c>
      <c r="L225" s="17" t="s">
        <v>199</v>
      </c>
      <c r="N225" s="17"/>
      <c r="O225" s="17" t="s">
        <v>154</v>
      </c>
      <c r="P225" s="17"/>
      <c r="Q225" s="20"/>
      <c r="R225" s="17"/>
      <c r="S225" s="42">
        <f>IF(NOT(ISBLANK('Referenz Pflasterwerk'!$I18)),'Referenz Pflasterwerk'!$I18,'Referenz Pflasterwerk'!$F18)/1000*IF(NOT(ISBLANK('Eingabe Preise'!$O12)),'Eingabe Preise'!$O12,'Eingabe Preise'!$M12)</f>
        <v>25800</v>
      </c>
      <c r="T225" s="20" t="s">
        <v>109</v>
      </c>
    </row>
    <row r="226" spans="2:20" ht="15.75" hidden="1" outlineLevel="1" x14ac:dyDescent="0.3">
      <c r="B226" s="17"/>
      <c r="C226" s="17"/>
      <c r="D226" s="17" t="s">
        <v>129</v>
      </c>
      <c r="E226" s="17"/>
      <c r="F226" s="44">
        <f>IF(NOT(ISBLANK('Referenz Pflasterwerk'!$I19)),'Referenz Pflasterwerk'!$I19,'Referenz Pflasterwerk'!$F19)*IF(NOT(ISBLANK('Eingabe EF'!$AS12)),'Eingabe EF'!$AS12,0)</f>
        <v>0</v>
      </c>
      <c r="G226" s="44">
        <f>IF(NOT(ISBLANK('Referenz Pflasterwerk'!$I19)),'Referenz Pflasterwerk'!$I19,'Referenz Pflasterwerk'!$F19)*IF(NOT(ISBLANK('Eingabe EF'!$AW12)),'Eingabe EF'!$AW12,0)</f>
        <v>0</v>
      </c>
      <c r="H226" s="44">
        <f>IF(NOT(ISBLANK('Referenz Pflasterwerk'!$I19)),'Referenz Pflasterwerk'!$I19,'Referenz Pflasterwerk'!$F19)*IF(NOT(ISBLANK('Eingabe EF'!$BA12)),'Eingabe EF'!$BA12,0)</f>
        <v>0</v>
      </c>
      <c r="I226" s="17"/>
      <c r="J226" s="38">
        <f>F226+G226</f>
        <v>0</v>
      </c>
      <c r="K226" s="38">
        <f>SUM(F226:H226)</f>
        <v>0</v>
      </c>
      <c r="L226" s="17" t="s">
        <v>199</v>
      </c>
      <c r="N226" s="17"/>
      <c r="O226" s="17" t="s">
        <v>129</v>
      </c>
      <c r="P226" s="17"/>
      <c r="Q226" s="20"/>
      <c r="R226" s="17"/>
      <c r="S226" s="42">
        <f>IF(NOT(ISBLANK('Referenz Pflasterwerk'!$I19)),'Referenz Pflasterwerk'!$I19,'Referenz Pflasterwerk'!$F19)/1000*IF(NOT(ISBLANK('Eingabe Preise'!$O16)),'Eingabe Preise'!$O16,0)</f>
        <v>0</v>
      </c>
      <c r="T226" s="20" t="s">
        <v>109</v>
      </c>
    </row>
    <row r="227" spans="2:20" hidden="1" outlineLevel="1" x14ac:dyDescent="0.2">
      <c r="B227" s="17"/>
      <c r="C227" s="17" t="s">
        <v>149</v>
      </c>
      <c r="D227" s="17"/>
      <c r="E227" s="17"/>
      <c r="F227" s="17"/>
      <c r="G227" s="17"/>
      <c r="H227" s="17"/>
      <c r="I227" s="17"/>
      <c r="J227" s="17"/>
      <c r="K227" s="17"/>
      <c r="L227" s="17"/>
      <c r="N227" s="17" t="s">
        <v>149</v>
      </c>
      <c r="O227" s="17"/>
      <c r="P227" s="17"/>
      <c r="Q227" s="20"/>
      <c r="R227" s="17"/>
      <c r="S227" s="20"/>
      <c r="T227" s="20"/>
    </row>
    <row r="228" spans="2:20" ht="15.75" hidden="1" outlineLevel="1" x14ac:dyDescent="0.3">
      <c r="B228" s="17"/>
      <c r="C228" s="17"/>
      <c r="D228" s="17" t="s">
        <v>32</v>
      </c>
      <c r="E228" s="17"/>
      <c r="F228" s="44">
        <f>IF(NOT(ISBLANK('Referenz Pflasterwerk'!$I21)),'Referenz Pflasterwerk'!$I21,'Referenz Pflasterwerk'!$F21)*IF(NOT(ISBLANK('Eingabe EF'!$AS9)),'Eingabe EF'!$AS9,'Eingabe EF'!$AQ9)</f>
        <v>6.5937599999999996</v>
      </c>
      <c r="G228" s="44">
        <f>IF(NOT(ISBLANK('Referenz Pflasterwerk'!$I21)),'Referenz Pflasterwerk'!$I21,'Referenz Pflasterwerk'!$F21)*IF(NOT(ISBLANK('Eingabe EF'!$AW9)),'Eingabe EF'!$AW9,'Eingabe EF'!$AU9)</f>
        <v>0</v>
      </c>
      <c r="H228" s="44">
        <f>IF(NOT(ISBLANK('Referenz Pflasterwerk'!$I21)),'Referenz Pflasterwerk'!$I21,'Referenz Pflasterwerk'!$F21)*IF(NOT(ISBLANK('Eingabe EF'!$BA9)),'Eingabe EF'!$BA9,'Eingabe EF'!$AY9)</f>
        <v>1.1286</v>
      </c>
      <c r="I228" s="17"/>
      <c r="J228" s="38">
        <f t="shared" ref="J228:J229" si="46">F228+G228</f>
        <v>6.5937599999999996</v>
      </c>
      <c r="K228" s="38">
        <f t="shared" ref="K228:K229" si="47">SUM(F228:H228)</f>
        <v>7.7223600000000001</v>
      </c>
      <c r="L228" s="17" t="s">
        <v>199</v>
      </c>
      <c r="N228" s="17"/>
      <c r="O228" s="17" t="s">
        <v>32</v>
      </c>
      <c r="P228" s="17"/>
      <c r="Q228" s="20"/>
      <c r="R228" s="17"/>
      <c r="S228" s="42">
        <f>IF(NOT(ISBLANK('Referenz Pflasterwerk'!$I21)),'Referenz Pflasterwerk'!$I21,'Referenz Pflasterwerk'!$F21)/1000*IF(NOT(ISBLANK('Eingabe Preise'!$O10)),'Eingabe Preise'!$O10,'Eingabe Preise'!$M10)</f>
        <v>2196</v>
      </c>
      <c r="T228" s="20" t="s">
        <v>109</v>
      </c>
    </row>
    <row r="229" spans="2:20" ht="15.75" hidden="1" outlineLevel="1" x14ac:dyDescent="0.3">
      <c r="B229" s="17"/>
      <c r="C229" s="17"/>
      <c r="D229" s="17" t="s">
        <v>33</v>
      </c>
      <c r="E229" s="17"/>
      <c r="F229" s="44">
        <f>IF(NOT(ISBLANK('Referenz Pflasterwerk'!$I22)),'Referenz Pflasterwerk'!$I22,'Referenz Pflasterwerk'!$F22)*IF(NOT(ISBLANK('Eingabe EF'!$AS10)),'Eingabe EF'!$AS10,'Eingabe EF'!$AQ10)</f>
        <v>2.13408</v>
      </c>
      <c r="G229" s="44">
        <f>IF(NOT(ISBLANK('Referenz Pflasterwerk'!$I22)),'Referenz Pflasterwerk'!$I22,'Referenz Pflasterwerk'!$F22)*IF(NOT(ISBLANK('Eingabe EF'!$AW10)),'Eingabe EF'!$AW10,'Eingabe EF'!$AU10)</f>
        <v>0</v>
      </c>
      <c r="H229" s="44">
        <f>IF(NOT(ISBLANK('Referenz Pflasterwerk'!$I22)),'Referenz Pflasterwerk'!$I22,'Referenz Pflasterwerk'!$F22)*IF(NOT(ISBLANK('Eingabe EF'!$BA10)),'Eingabe EF'!$BA10,'Eingabe EF'!$AY10)</f>
        <v>0.316608</v>
      </c>
      <c r="I229" s="17"/>
      <c r="J229" s="38">
        <f t="shared" si="46"/>
        <v>2.13408</v>
      </c>
      <c r="K229" s="38">
        <f t="shared" si="47"/>
        <v>2.450688</v>
      </c>
      <c r="L229" s="17" t="s">
        <v>199</v>
      </c>
      <c r="N229" s="17"/>
      <c r="O229" s="17" t="s">
        <v>33</v>
      </c>
      <c r="P229" s="17"/>
      <c r="Q229" s="20"/>
      <c r="R229" s="17"/>
      <c r="S229" s="42">
        <f>IF(NOT(ISBLANK('Referenz Pflasterwerk'!$I22)),'Referenz Pflasterwerk'!$I22,'Referenz Pflasterwerk'!$F22)/1000*IF(NOT(ISBLANK('Eingabe Preise'!$O11)),'Eingabe Preise'!$O11,'Eingabe Preise'!$M11)</f>
        <v>368</v>
      </c>
      <c r="T229" s="20" t="s">
        <v>109</v>
      </c>
    </row>
    <row r="230" spans="2:20" hidden="1" outlineLevel="1" x14ac:dyDescent="0.2">
      <c r="B230" s="17"/>
      <c r="C230" s="17" t="s">
        <v>150</v>
      </c>
      <c r="D230" s="17"/>
      <c r="E230" s="17"/>
      <c r="F230" s="17"/>
      <c r="G230" s="17"/>
      <c r="H230" s="17"/>
      <c r="I230" s="17"/>
      <c r="J230" s="17"/>
      <c r="K230" s="17"/>
      <c r="L230" s="17"/>
      <c r="N230" s="17" t="s">
        <v>150</v>
      </c>
      <c r="O230" s="17"/>
      <c r="P230" s="17"/>
      <c r="Q230" s="20"/>
      <c r="R230" s="17"/>
      <c r="S230" s="20"/>
      <c r="T230" s="20"/>
    </row>
    <row r="231" spans="2:20" ht="15.75" hidden="1" outlineLevel="1" x14ac:dyDescent="0.3">
      <c r="B231" s="304"/>
      <c r="C231" s="17"/>
      <c r="D231" s="17" t="s">
        <v>152</v>
      </c>
      <c r="E231" s="17"/>
      <c r="F231" s="44">
        <f>IF(NOT(ISBLANK('Referenz Pflasterwerk'!$I24)),'Referenz Pflasterwerk'!$I24,'Referenz Pflasterwerk'!$F24)*IF(NOT(ISBLANK('Eingabe EF'!$AS11)),'Eingabe EF'!$AS11,'Eingabe EF'!$AQ11)</f>
        <v>0</v>
      </c>
      <c r="G231" s="44">
        <f>IF(NOT(ISBLANK('Referenz Pflasterwerk'!$I24)),'Referenz Pflasterwerk'!$I24,'Referenz Pflasterwerk'!$F24)*IF(NOT(ISBLANK('Eingabe EF'!$AW11)),'Eingabe EF'!$AW11,'Eingabe EF'!$AU11)</f>
        <v>82.070073128147413</v>
      </c>
      <c r="H231" s="44">
        <f>IF(NOT(ISBLANK('Referenz Pflasterwerk'!$I24)),'Referenz Pflasterwerk'!$I24,'Referenz Pflasterwerk'!$F24)*IF(NOT(ISBLANK('Eingabe EF'!$BA11)),'Eingabe EF'!$BA11,'Eingabe EF'!$AY11)</f>
        <v>12.031214908838363</v>
      </c>
      <c r="I231" s="17"/>
      <c r="J231" s="38">
        <f t="shared" ref="J231:J239" si="48">F231+G231</f>
        <v>82.070073128147413</v>
      </c>
      <c r="K231" s="38">
        <f t="shared" ref="K231:K239" si="49">SUM(F231:H231)</f>
        <v>94.101288036985778</v>
      </c>
      <c r="L231" s="17" t="s">
        <v>199</v>
      </c>
      <c r="N231" s="304"/>
      <c r="O231" s="17" t="s">
        <v>152</v>
      </c>
      <c r="P231" s="17"/>
      <c r="Q231" s="20"/>
      <c r="R231" s="17"/>
      <c r="S231" s="42">
        <f>IF(NOT(ISBLANK('Referenz Pflasterwerk'!$I24)),'Referenz Pflasterwerk'!$I24,'Referenz Pflasterwerk'!$F24)/1000*IF(NOT(ISBLANK('Eingabe Preise'!$O12)),'Eingabe Preise'!$O12,'Eingabe Preise'!$M12)</f>
        <v>103200</v>
      </c>
      <c r="T231" s="20" t="s">
        <v>109</v>
      </c>
    </row>
    <row r="232" spans="2:20" ht="15.75" hidden="1" outlineLevel="1" x14ac:dyDescent="0.3">
      <c r="B232" s="17"/>
      <c r="C232" s="17"/>
      <c r="D232" s="17" t="s">
        <v>125</v>
      </c>
      <c r="E232" s="17"/>
      <c r="F232" s="44">
        <f>IF(NOT(ISBLANK('Referenz Pflasterwerk'!$I25)),'Referenz Pflasterwerk'!$I25,'Referenz Pflasterwerk'!$F25)*IF(NOT(ISBLANK('Eingabe EF'!$AS13)),'Eingabe EF'!$AS13,'Eingabe EF'!$AQ13)</f>
        <v>0</v>
      </c>
      <c r="G232" s="44">
        <f>IF(NOT(ISBLANK('Referenz Pflasterwerk'!$I25)),'Referenz Pflasterwerk'!$I25,'Referenz Pflasterwerk'!$F25)*IF(NOT(ISBLANK('Eingabe EF'!$AW13)),'Eingabe EF'!$AW13,'Eingabe EF'!$AU13)</f>
        <v>0</v>
      </c>
      <c r="H232" s="44">
        <f>IF(NOT(ISBLANK('Referenz Pflasterwerk'!$I25)),'Referenz Pflasterwerk'!$I25,'Referenz Pflasterwerk'!$F25)*IF(NOT(ISBLANK('Eingabe EF'!$BA13)),'Eingabe EF'!$BA13,'Eingabe EF'!$AY13)</f>
        <v>0</v>
      </c>
      <c r="I232" s="17"/>
      <c r="J232" s="38">
        <f t="shared" si="48"/>
        <v>0</v>
      </c>
      <c r="K232" s="38">
        <f t="shared" si="49"/>
        <v>0</v>
      </c>
      <c r="L232" s="17" t="s">
        <v>199</v>
      </c>
      <c r="N232" s="17"/>
      <c r="O232" s="17" t="s">
        <v>125</v>
      </c>
      <c r="P232" s="17"/>
      <c r="Q232" s="20"/>
      <c r="R232" s="17"/>
      <c r="S232" s="42">
        <f>IF(NOT(ISBLANK('Referenz Pflasterwerk'!$I25)),'Referenz Pflasterwerk'!$I25,'Referenz Pflasterwerk'!$F25)/1000*IF(NOT(ISBLANK('Eingabe Preise'!$O13)),'Eingabe Preise'!$O13,'Eingabe Preise'!$M13)</f>
        <v>0</v>
      </c>
      <c r="T232" s="20" t="s">
        <v>109</v>
      </c>
    </row>
    <row r="233" spans="2:20" ht="15.75" hidden="1" outlineLevel="1" x14ac:dyDescent="0.3">
      <c r="B233" s="17"/>
      <c r="C233" s="17"/>
      <c r="D233" s="17" t="s">
        <v>151</v>
      </c>
      <c r="E233" s="17"/>
      <c r="F233" s="44">
        <f>IF(NOT(ISBLANK('Referenz Pflasterwerk'!$I26)),'Referenz Pflasterwerk'!$I26,'Referenz Pflasterwerk'!$F26)*IF(NOT(ISBLANK('Eingabe EF'!$AS14)),'Eingabe EF'!$AS14,0)</f>
        <v>0</v>
      </c>
      <c r="G233" s="44">
        <f>IF(NOT(ISBLANK('Referenz Pflasterwerk'!$I26)),'Referenz Pflasterwerk'!$I26,'Referenz Pflasterwerk'!$F26)*IF(NOT(ISBLANK('Eingabe EF'!$AW14)),'Eingabe EF'!$AW14,0)</f>
        <v>0</v>
      </c>
      <c r="H233" s="44">
        <f>IF(NOT(ISBLANK('Referenz Pflasterwerk'!$I26)),'Referenz Pflasterwerk'!$I26,'Referenz Pflasterwerk'!$F26)*IF(NOT(ISBLANK('Eingabe EF'!$BA14)),'Eingabe EF'!$BA14,0)</f>
        <v>0</v>
      </c>
      <c r="I233" s="17"/>
      <c r="J233" s="38">
        <f t="shared" si="48"/>
        <v>0</v>
      </c>
      <c r="K233" s="38">
        <f t="shared" si="49"/>
        <v>0</v>
      </c>
      <c r="L233" s="17" t="s">
        <v>199</v>
      </c>
      <c r="N233" s="17"/>
      <c r="O233" s="17" t="s">
        <v>151</v>
      </c>
      <c r="P233" s="17"/>
      <c r="Q233" s="30"/>
      <c r="R233" s="17"/>
      <c r="S233" s="42">
        <f>IF(NOT(ISBLANK('Referenz Pflasterwerk'!$I26)),'Referenz Pflasterwerk'!$I26,'Referenz Pflasterwerk'!$F26)/1000*IF(NOT(ISBLANK('Eingabe Preise'!$O17)),'Eingabe Preise'!$O17,0)</f>
        <v>0</v>
      </c>
      <c r="T233" s="20" t="s">
        <v>109</v>
      </c>
    </row>
    <row r="234" spans="2:20" hidden="1" outlineLevel="1" x14ac:dyDescent="0.2">
      <c r="B234" s="17"/>
      <c r="C234" s="17"/>
      <c r="D234" s="17"/>
      <c r="E234" s="17"/>
      <c r="F234" s="17"/>
      <c r="G234" s="17"/>
      <c r="H234" s="17"/>
      <c r="I234" s="17"/>
      <c r="J234" s="17"/>
      <c r="K234" s="17"/>
      <c r="L234" s="17"/>
      <c r="N234" s="17"/>
      <c r="O234" s="17"/>
      <c r="P234" s="17"/>
      <c r="Q234" s="30"/>
      <c r="R234" s="17"/>
      <c r="S234" s="17"/>
      <c r="T234" s="17"/>
    </row>
    <row r="235" spans="2:20" ht="15.75" hidden="1" outlineLevel="1" x14ac:dyDescent="0.3">
      <c r="B235" s="304"/>
      <c r="C235" s="17" t="s">
        <v>78</v>
      </c>
      <c r="D235" s="17" t="s">
        <v>35</v>
      </c>
      <c r="E235" s="17"/>
      <c r="F235" s="44">
        <f>(IF(NOT(ISBLANK('Referenz Pflasterwerk'!$I28)),'Referenz Pflasterwerk'!$I28,'Referenz Pflasterwerk'!$F28)-E218)*IF(NOT(ISBLANK('Eingabe EF'!$AS15)),'Eingabe EF'!$AS15,'Eingabe EF'!$AQ15)</f>
        <v>76.552864127999996</v>
      </c>
      <c r="G235" s="44">
        <f>(IF(NOT(ISBLANK('Referenz Pflasterwerk'!$I28)),'Referenz Pflasterwerk'!$I28,'Referenz Pflasterwerk'!$F28)-E218)*IF(NOT(ISBLANK('Eingabe EF'!$AW15)),'Eingabe EF'!$AW15,'Eingabe EF'!$AU15)</f>
        <v>0</v>
      </c>
      <c r="H235" s="44">
        <f>(IF(NOT(ISBLANK('Referenz Pflasterwerk'!$I28)),'Referenz Pflasterwerk'!$I28,'Referenz Pflasterwerk'!$F28)-E218)*IF(NOT(ISBLANK('Eingabe EF'!$BA15)),'Eingabe EF'!$BA15,'Eingabe EF'!$AY15)</f>
        <v>13.525170048000001</v>
      </c>
      <c r="I235" s="17"/>
      <c r="J235" s="38">
        <f t="shared" ref="J235:J237" si="50">F235+G235</f>
        <v>76.552864127999996</v>
      </c>
      <c r="K235" s="38">
        <f>SUM(F235:H235)</f>
        <v>90.078034176000003</v>
      </c>
      <c r="L235" s="17" t="s">
        <v>199</v>
      </c>
      <c r="N235" s="304"/>
      <c r="O235" s="17" t="s">
        <v>35</v>
      </c>
      <c r="P235" s="17" t="s">
        <v>78</v>
      </c>
      <c r="Q235" s="30"/>
      <c r="R235" s="17"/>
      <c r="S235" s="42">
        <f>(IF(NOT(ISBLANK('Referenz Pflasterwerk'!$I28)),'Referenz Pflasterwerk'!$I28,'Referenz Pflasterwerk'!$F28)-E218)*IF(NOT(ISBLANK('Eingabe Preise'!$O14)),'Eingabe Preise'!$O14,'Eingabe Preise'!$M14)</f>
        <v>32371.200000000004</v>
      </c>
      <c r="T235" s="20" t="s">
        <v>109</v>
      </c>
    </row>
    <row r="236" spans="2:20" ht="15.75" hidden="1" outlineLevel="1" x14ac:dyDescent="0.3">
      <c r="B236" s="17"/>
      <c r="C236" s="17" t="s">
        <v>77</v>
      </c>
      <c r="D236" s="17" t="s">
        <v>35</v>
      </c>
      <c r="E236" s="17"/>
      <c r="F236" s="44">
        <f>IF(NOT(ISBLANK('Referenz Pflasterwerk'!$I29)),'Referenz Pflasterwerk'!$I29,'Referenz Pflasterwerk'!$F29)*IF(NOT(ISBLANK('Eingabe EF'!$AS15)),'Eingabe EF'!$AS15,'Eingabe EF'!$AQ15)</f>
        <v>10.632342239999998</v>
      </c>
      <c r="G236" s="44">
        <f>IF(NOT(ISBLANK('Referenz Pflasterwerk'!$I29)),'Referenz Pflasterwerk'!$I29,'Referenz Pflasterwerk'!$F29)*IF(NOT(ISBLANK('Eingabe EF'!$AW15)),'Eingabe EF'!$AW15,'Eingabe EF'!$AU15)</f>
        <v>0</v>
      </c>
      <c r="H236" s="44">
        <f>IF(NOT(ISBLANK('Referenz Pflasterwerk'!$I29)),'Referenz Pflasterwerk'!$I29,'Referenz Pflasterwerk'!$F29)*IF(NOT(ISBLANK('Eingabe EF'!$BA15)),'Eingabe EF'!$BA15,'Eingabe EF'!$AY15)</f>
        <v>1.8784958400000002</v>
      </c>
      <c r="I236" s="17"/>
      <c r="J236" s="38">
        <f t="shared" si="50"/>
        <v>10.632342239999998</v>
      </c>
      <c r="K236" s="38">
        <f t="shared" ref="K236:K237" si="51">SUM(F236:H236)</f>
        <v>12.510838079999999</v>
      </c>
      <c r="L236" s="17" t="s">
        <v>199</v>
      </c>
      <c r="N236" s="17"/>
      <c r="O236" s="17" t="s">
        <v>35</v>
      </c>
      <c r="P236" s="17" t="s">
        <v>77</v>
      </c>
      <c r="Q236" s="30"/>
      <c r="R236" s="17"/>
      <c r="S236" s="42">
        <f>IF(NOT(ISBLANK('Referenz Pflasterwerk'!$I29)),'Referenz Pflasterwerk'!$I29,'Referenz Pflasterwerk'!$F29)*IF(NOT(ISBLANK('Eingabe Preise'!$O14)),'Eingabe Preise'!$O14,'Eingabe Preise'!$M14)</f>
        <v>4496</v>
      </c>
      <c r="T236" s="20" t="s">
        <v>109</v>
      </c>
    </row>
    <row r="237" spans="2:20" ht="14.25" hidden="1" outlineLevel="1" x14ac:dyDescent="0.25">
      <c r="B237" s="69"/>
      <c r="C237" s="69" t="s">
        <v>190</v>
      </c>
      <c r="D237" s="69"/>
      <c r="E237" s="69"/>
      <c r="F237" s="71">
        <f>F238+F239</f>
        <v>0</v>
      </c>
      <c r="G237" s="71">
        <f t="shared" ref="G237:H237" si="52">G238+G239</f>
        <v>0</v>
      </c>
      <c r="H237" s="71">
        <f t="shared" si="52"/>
        <v>578.62626120000004</v>
      </c>
      <c r="I237" s="69"/>
      <c r="J237" s="71">
        <f t="shared" si="50"/>
        <v>0</v>
      </c>
      <c r="K237" s="71">
        <f t="shared" si="51"/>
        <v>578.62626120000004</v>
      </c>
      <c r="L237" s="76" t="s">
        <v>198</v>
      </c>
      <c r="N237" s="17"/>
      <c r="O237" s="17"/>
      <c r="P237" s="17"/>
      <c r="Q237" s="30"/>
      <c r="R237" s="17"/>
      <c r="S237" s="17"/>
      <c r="T237" s="17"/>
    </row>
    <row r="238" spans="2:20" ht="15.75" hidden="1" outlineLevel="1" x14ac:dyDescent="0.3">
      <c r="B238" s="17"/>
      <c r="C238" s="17"/>
      <c r="D238" s="17" t="s">
        <v>46</v>
      </c>
      <c r="E238" s="17"/>
      <c r="F238" s="44">
        <f>IF(NOT(ISBLANK('Referenz Pflasterwerk'!$I32)),'Referenz Pflasterwerk'!$I32,'Referenz Pflasterwerk'!$F32)*IF(NOT(ISBLANK('Eingabe EF'!$AS17)),'Eingabe EF'!$AS17,'Eingabe EF'!$AQ17)</f>
        <v>0</v>
      </c>
      <c r="G238" s="44">
        <f>IF(NOT(ISBLANK('Referenz Pflasterwerk'!$I32)),'Referenz Pflasterwerk'!$I32,'Referenz Pflasterwerk'!$F32)*IF(NOT(ISBLANK('Eingabe EF'!$AW17)),'Eingabe EF'!$AW17,'Eingabe EF'!$AU17)</f>
        <v>0</v>
      </c>
      <c r="H238" s="44">
        <f>IF(NOT(ISBLANK('Referenz Pflasterwerk'!$I32)),'Referenz Pflasterwerk'!$I32,'Referenz Pflasterwerk'!$F32)*IF(NOT(ISBLANK('Eingabe EF'!$BA17)),'Eingabe EF'!$BA17,'Eingabe EF'!$AY17)</f>
        <v>250.21676159999998</v>
      </c>
      <c r="I238" s="17"/>
      <c r="J238" s="38">
        <f t="shared" si="48"/>
        <v>0</v>
      </c>
      <c r="K238" s="38">
        <f t="shared" si="49"/>
        <v>250.21676159999998</v>
      </c>
      <c r="L238" s="17" t="s">
        <v>199</v>
      </c>
      <c r="N238" s="17"/>
      <c r="O238" s="17"/>
      <c r="P238" s="17"/>
      <c r="Q238" s="30"/>
      <c r="R238" s="17"/>
      <c r="S238" s="17"/>
      <c r="T238" s="17"/>
    </row>
    <row r="239" spans="2:20" ht="15.75" hidden="1" outlineLevel="1" x14ac:dyDescent="0.3">
      <c r="B239" s="17"/>
      <c r="C239" s="17"/>
      <c r="D239" s="17" t="s">
        <v>47</v>
      </c>
      <c r="E239" s="17"/>
      <c r="F239" s="44">
        <f>IF(NOT(ISBLANK('Referenz Pflasterwerk'!$I33)),'Referenz Pflasterwerk'!$I33,'Referenz Pflasterwerk'!$F33)*IF(NOT(ISBLANK('Eingabe EF'!$AS18)),'Eingabe EF'!$AS18,'Eingabe EF'!$AQ18)</f>
        <v>0</v>
      </c>
      <c r="G239" s="44">
        <f>IF(NOT(ISBLANK('Referenz Pflasterwerk'!$I33)),'Referenz Pflasterwerk'!$I33,'Referenz Pflasterwerk'!$F33)*IF(NOT(ISBLANK('Eingabe EF'!$AW18)),'Eingabe EF'!$AW18,'Eingabe EF'!$AU18)</f>
        <v>0</v>
      </c>
      <c r="H239" s="44">
        <f>IF(NOT(ISBLANK('Referenz Pflasterwerk'!$I33)),'Referenz Pflasterwerk'!$I33,'Referenz Pflasterwerk'!$F33)*IF(NOT(ISBLANK('Eingabe EF'!$BA18)),'Eingabe EF'!$BA18,'Eingabe EF'!$AY18)</f>
        <v>328.4094996</v>
      </c>
      <c r="I239" s="17"/>
      <c r="J239" s="38">
        <f t="shared" si="48"/>
        <v>0</v>
      </c>
      <c r="K239" s="38">
        <f t="shared" si="49"/>
        <v>328.4094996</v>
      </c>
      <c r="L239" s="17" t="s">
        <v>199</v>
      </c>
      <c r="N239" s="17"/>
      <c r="O239" s="17" t="s">
        <v>31</v>
      </c>
      <c r="P239" s="17"/>
      <c r="Q239" s="30"/>
      <c r="R239" s="17"/>
      <c r="S239" s="42">
        <f>S252+S253</f>
        <v>144000</v>
      </c>
      <c r="T239" s="20" t="s">
        <v>109</v>
      </c>
    </row>
    <row r="240" spans="2:20" hidden="1" outlineLevel="1" x14ac:dyDescent="0.2">
      <c r="B240" s="17"/>
      <c r="C240" s="17"/>
      <c r="D240" s="17"/>
      <c r="E240" s="17"/>
      <c r="F240" s="20"/>
      <c r="G240" s="20"/>
      <c r="H240" s="20"/>
      <c r="I240" s="17"/>
      <c r="J240" s="20"/>
      <c r="K240" s="20"/>
      <c r="L240" s="17"/>
      <c r="N240" s="17"/>
      <c r="O240" s="45" t="s">
        <v>155</v>
      </c>
      <c r="P240" s="17"/>
      <c r="Q240" s="30"/>
      <c r="R240" s="17"/>
      <c r="S240" s="42">
        <f>IF(NOT(ISBLANK($K$28)),$K$28,$I$28)</f>
        <v>0</v>
      </c>
      <c r="T240" s="20" t="s">
        <v>109</v>
      </c>
    </row>
    <row r="241" spans="2:20" ht="14.25" hidden="1" outlineLevel="1" x14ac:dyDescent="0.25">
      <c r="B241" s="69"/>
      <c r="C241" s="69" t="s">
        <v>69</v>
      </c>
      <c r="D241" s="70"/>
      <c r="E241" s="70"/>
      <c r="F241" s="71">
        <f>SUM(F242:F245)</f>
        <v>0</v>
      </c>
      <c r="G241" s="71">
        <f t="shared" ref="G241" si="53">SUM(G242:G245)</f>
        <v>0</v>
      </c>
      <c r="H241" s="71">
        <f>SUM(H242:H245)</f>
        <v>7683.24</v>
      </c>
      <c r="I241" s="70"/>
      <c r="J241" s="71">
        <f t="shared" ref="J241:J245" si="54">F241+G241</f>
        <v>0</v>
      </c>
      <c r="K241" s="71">
        <f t="shared" ref="K241" si="55">SUM(F241:H241)</f>
        <v>7683.24</v>
      </c>
      <c r="L241" s="76" t="s">
        <v>198</v>
      </c>
      <c r="N241" s="17"/>
      <c r="O241" s="45" t="s">
        <v>162</v>
      </c>
      <c r="P241" s="17"/>
      <c r="Q241" s="30"/>
      <c r="R241" s="17"/>
      <c r="S241" s="42">
        <f>S255+S256</f>
        <v>0</v>
      </c>
      <c r="T241" s="20" t="s">
        <v>109</v>
      </c>
    </row>
    <row r="242" spans="2:20" ht="15.75" hidden="1" outlineLevel="1" x14ac:dyDescent="0.3">
      <c r="B242" s="17"/>
      <c r="C242" s="17"/>
      <c r="D242" s="17" t="s">
        <v>48</v>
      </c>
      <c r="E242" s="17"/>
      <c r="F242" s="38">
        <f>IF(NOT(ISBLANK('Referenz Pflasterwerk'!$I36)),'Referenz Pflasterwerk'!$I36,'Referenz Pflasterwerk'!$F36)*IF(NOT(ISBLANK('Eingabe EF'!$AS21)),'Eingabe EF'!$AS21,'Eingabe EF'!$AQ21)*IF(NOT(ISBLANK('Referenz Pflasterwerk'!$I$12)),'Referenz Pflasterwerk'!$I$12,'Referenz Pflasterwerk'!$F$12)</f>
        <v>0</v>
      </c>
      <c r="G242" s="38">
        <f>IF(NOT(ISBLANK('Referenz Pflasterwerk'!$I36)),'Referenz Pflasterwerk'!$I36,'Referenz Pflasterwerk'!$F36)*IF(NOT(ISBLANK('Eingabe EF'!$AW21)),'Eingabe EF'!$AW21,'Eingabe EF'!$AU21)*IF(NOT(ISBLANK('Referenz Pflasterwerk'!$I$12)),'Referenz Pflasterwerk'!$I$12,'Referenz Pflasterwerk'!$F$12)</f>
        <v>0</v>
      </c>
      <c r="H242" s="38">
        <f>IF(NOT(ISBLANK('Referenz Pflasterwerk'!$I36)),'Referenz Pflasterwerk'!$I36,'Referenz Pflasterwerk'!$F36)*IF(NOT(ISBLANK('Eingabe EF'!$BA21)),'Eingabe EF'!$BA21,'Eingabe EF'!$AY21)*IF(NOT(ISBLANK('Referenz Pflasterwerk'!$I$12)),'Referenz Pflasterwerk'!$I$12,'Referenz Pflasterwerk'!$F$12)</f>
        <v>2144.625</v>
      </c>
      <c r="I242" s="17"/>
      <c r="J242" s="38">
        <f t="shared" si="54"/>
        <v>0</v>
      </c>
      <c r="K242" s="38">
        <f t="shared" ref="K242:K245" si="56">SUM(F242:H242)</f>
        <v>2144.625</v>
      </c>
      <c r="L242" s="17" t="s">
        <v>199</v>
      </c>
      <c r="N242" s="17"/>
      <c r="O242" s="17"/>
      <c r="P242" s="17"/>
      <c r="Q242" s="17"/>
      <c r="R242" s="17"/>
      <c r="S242" s="17"/>
      <c r="T242" s="17"/>
    </row>
    <row r="243" spans="2:20" ht="15.75" hidden="1" outlineLevel="1" x14ac:dyDescent="0.3">
      <c r="B243" s="17"/>
      <c r="C243" s="17"/>
      <c r="D243" s="17" t="s">
        <v>50</v>
      </c>
      <c r="E243" s="17"/>
      <c r="F243" s="38">
        <f>IF(NOT(ISBLANK('Referenz Pflasterwerk'!$I37)),'Referenz Pflasterwerk'!$I37,'Referenz Pflasterwerk'!$F37)*IF(NOT(ISBLANK('Eingabe EF'!$AS22)),'Eingabe EF'!$AS22,'Eingabe EF'!$AQ22)*IF(NOT(ISBLANK('Referenz Pflasterwerk'!$I$12)),'Referenz Pflasterwerk'!$I$12,'Referenz Pflasterwerk'!$F$12)</f>
        <v>0</v>
      </c>
      <c r="G243" s="38">
        <f>IF(NOT(ISBLANK('Referenz Pflasterwerk'!$I37)),'Referenz Pflasterwerk'!$I37,'Referenz Pflasterwerk'!$F37)*IF(NOT(ISBLANK('Eingabe EF'!$AW22)),'Eingabe EF'!$AW22,'Eingabe EF'!$AU22)*IF(NOT(ISBLANK('Referenz Pflasterwerk'!$I$12)),'Referenz Pflasterwerk'!$I$12,'Referenz Pflasterwerk'!$F$12)</f>
        <v>0</v>
      </c>
      <c r="H243" s="38">
        <f>IF(NOT(ISBLANK('Referenz Pflasterwerk'!$I37)),'Referenz Pflasterwerk'!$I37,'Referenz Pflasterwerk'!$F37)*IF(NOT(ISBLANK('Eingabe EF'!$BA22)),'Eingabe EF'!$BA22,'Eingabe EF'!$AY22)*IF(NOT(ISBLANK('Referenz Pflasterwerk'!$I$12)),'Referenz Pflasterwerk'!$I$12,'Referenz Pflasterwerk'!$F$12)</f>
        <v>4993.59</v>
      </c>
      <c r="I243" s="17"/>
      <c r="J243" s="38">
        <f t="shared" si="54"/>
        <v>0</v>
      </c>
      <c r="K243" s="38">
        <f t="shared" si="56"/>
        <v>4993.59</v>
      </c>
      <c r="L243" s="17" t="s">
        <v>199</v>
      </c>
      <c r="N243" s="17"/>
      <c r="O243" s="17"/>
      <c r="P243" s="17"/>
      <c r="Q243" s="17"/>
      <c r="R243" s="17"/>
      <c r="S243" s="17"/>
      <c r="T243" s="17"/>
    </row>
    <row r="244" spans="2:20" ht="15.75" hidden="1" outlineLevel="1" x14ac:dyDescent="0.3">
      <c r="B244" s="17"/>
      <c r="C244" s="17"/>
      <c r="D244" s="17" t="s">
        <v>51</v>
      </c>
      <c r="E244" s="17"/>
      <c r="F244" s="38">
        <f>IF(NOT(ISBLANK('Referenz Pflasterwerk'!$I38)),'Referenz Pflasterwerk'!$I38,'Referenz Pflasterwerk'!$F38)*IF(NOT(ISBLANK('Eingabe EF'!$AS23)),'Eingabe EF'!$AS23,'Eingabe EF'!$AQ23)*IF(NOT(ISBLANK('Referenz Pflasterwerk'!$I$12)),'Referenz Pflasterwerk'!$I$12,'Referenz Pflasterwerk'!$F$12)</f>
        <v>0</v>
      </c>
      <c r="G244" s="38">
        <f>IF(NOT(ISBLANK('Referenz Pflasterwerk'!$I38)),'Referenz Pflasterwerk'!$I38,'Referenz Pflasterwerk'!$F38)*IF(NOT(ISBLANK('Eingabe EF'!$AW23)),'Eingabe EF'!$AW23,'Eingabe EF'!$AU23)*IF(NOT(ISBLANK('Referenz Pflasterwerk'!$I$12)),'Referenz Pflasterwerk'!$I$12,'Referenz Pflasterwerk'!$F$12)</f>
        <v>0</v>
      </c>
      <c r="H244" s="38">
        <f>IF(NOT(ISBLANK('Referenz Pflasterwerk'!$I38)),'Referenz Pflasterwerk'!$I38,'Referenz Pflasterwerk'!$F38)*IF(NOT(ISBLANK('Eingabe EF'!$BA23)),'Eingabe EF'!$BA23,'Eingabe EF'!$AY23)*IF(NOT(ISBLANK('Referenz Pflasterwerk'!$I$12)),'Referenz Pflasterwerk'!$I$12,'Referenz Pflasterwerk'!$F$12)</f>
        <v>545.02499999999998</v>
      </c>
      <c r="I244" s="17"/>
      <c r="J244" s="38">
        <f t="shared" si="54"/>
        <v>0</v>
      </c>
      <c r="K244" s="38">
        <f t="shared" si="56"/>
        <v>545.02499999999998</v>
      </c>
      <c r="L244" s="17" t="s">
        <v>199</v>
      </c>
      <c r="N244" s="17"/>
      <c r="O244" s="17" t="s">
        <v>201</v>
      </c>
      <c r="P244" s="17"/>
      <c r="Q244" s="30"/>
      <c r="R244" s="17"/>
      <c r="S244" s="42">
        <f>F280*IF(NOT(ISBLANK('Eingabe Preise'!$O21)),'Eingabe Preise'!$O21,'Eingabe Preise'!$M21)</f>
        <v>7847.6005094399998</v>
      </c>
      <c r="T244" s="20" t="s">
        <v>109</v>
      </c>
    </row>
    <row r="245" spans="2:20" ht="15.75" hidden="1" outlineLevel="1" x14ac:dyDescent="0.3">
      <c r="B245" s="17"/>
      <c r="C245" s="17"/>
      <c r="D245" s="17" t="s">
        <v>163</v>
      </c>
      <c r="E245" s="17"/>
      <c r="F245" s="38">
        <f>IF(NOT(ISBLANK('Referenz Pflasterwerk'!$I39)),'Referenz Pflasterwerk'!$I39,'Referenz Pflasterwerk'!$F39)*IF(NOT(ISBLANK('Eingabe EF'!$AS24)),'Eingabe EF'!$AS24,0)*IF(NOT(ISBLANK('Referenz Pflasterwerk'!$I$12)),'Referenz Pflasterwerk'!$I$12,'Referenz Pflasterwerk'!$F$12)</f>
        <v>0</v>
      </c>
      <c r="G245" s="38">
        <f>IF(NOT(ISBLANK('Referenz Pflasterwerk'!$I39)),'Referenz Pflasterwerk'!$I39,'Referenz Pflasterwerk'!$F39)*IF(NOT(ISBLANK('Eingabe EF'!$AW24)),'Eingabe EF'!$AW24,0)*IF(NOT(ISBLANK('Referenz Pflasterwerk'!$I$12)),'Referenz Pflasterwerk'!$I$12,'Referenz Pflasterwerk'!$F$12)</f>
        <v>0</v>
      </c>
      <c r="H245" s="38">
        <f>IF(NOT(ISBLANK('Referenz Pflasterwerk'!$I39)),'Referenz Pflasterwerk'!$I39,'Referenz Pflasterwerk'!$F39)*IF(NOT(ISBLANK('Eingabe EF'!$BA24)),'Eingabe EF'!$BA24,0)*IF(NOT(ISBLANK('Referenz Pflasterwerk'!$I$12)),'Referenz Pflasterwerk'!$I$12,'Referenz Pflasterwerk'!$F$12)</f>
        <v>0</v>
      </c>
      <c r="I245" s="17"/>
      <c r="J245" s="38">
        <f t="shared" si="54"/>
        <v>0</v>
      </c>
      <c r="K245" s="38">
        <f t="shared" si="56"/>
        <v>0</v>
      </c>
      <c r="L245" s="17" t="s">
        <v>199</v>
      </c>
      <c r="N245" s="17"/>
      <c r="O245" s="17" t="s">
        <v>202</v>
      </c>
      <c r="P245" s="17"/>
      <c r="Q245" s="30"/>
      <c r="R245" s="17"/>
      <c r="S245" s="42">
        <f>G280*IF(NOT(ISBLANK('Eingabe Preise'!$O22)),'Eingabe Preise'!$O22,'Eingabe Preise'!$M22)</f>
        <v>8207.0073128147415</v>
      </c>
      <c r="T245" s="20" t="s">
        <v>109</v>
      </c>
    </row>
    <row r="246" spans="2:20" ht="15.75" hidden="1" outlineLevel="1" x14ac:dyDescent="0.3">
      <c r="B246" s="17"/>
      <c r="C246" s="17"/>
      <c r="D246" s="17"/>
      <c r="E246" s="17"/>
      <c r="F246" s="17"/>
      <c r="G246" s="17"/>
      <c r="H246" s="17"/>
      <c r="I246" s="17"/>
      <c r="J246" s="20"/>
      <c r="K246" s="20"/>
      <c r="L246" s="17"/>
      <c r="N246" s="17"/>
      <c r="O246" s="17" t="s">
        <v>203</v>
      </c>
      <c r="P246" s="17"/>
      <c r="Q246" s="30"/>
      <c r="R246" s="17"/>
      <c r="S246" s="42">
        <f>H280*IF(NOT(ISBLANK('Eingabe Preise'!$O23)),'Eingabe Preise'!$O23,'Eingabe Preise'!$M23)</f>
        <v>839372.73459287581</v>
      </c>
      <c r="T246" s="20" t="s">
        <v>109</v>
      </c>
    </row>
    <row r="247" spans="2:20" ht="14.25" hidden="1" outlineLevel="1" x14ac:dyDescent="0.25">
      <c r="B247" s="69"/>
      <c r="C247" s="69" t="s">
        <v>178</v>
      </c>
      <c r="D247" s="70"/>
      <c r="E247" s="70"/>
      <c r="F247" s="71">
        <f>SUM(F248:F250)</f>
        <v>0</v>
      </c>
      <c r="G247" s="71">
        <f t="shared" ref="G247:H247" si="57">SUM(G248:G250)</f>
        <v>0</v>
      </c>
      <c r="H247" s="71">
        <f t="shared" si="57"/>
        <v>387.03000000000003</v>
      </c>
      <c r="I247" s="70"/>
      <c r="J247" s="71">
        <f t="shared" ref="J247" si="58">F247+G247</f>
        <v>0</v>
      </c>
      <c r="K247" s="71">
        <f t="shared" ref="K247" si="59">SUM(F247:H247)</f>
        <v>387.03000000000003</v>
      </c>
      <c r="L247" s="76" t="s">
        <v>198</v>
      </c>
      <c r="N247" s="17"/>
      <c r="O247" s="17"/>
      <c r="P247" s="17"/>
      <c r="Q247" s="17"/>
      <c r="R247" s="17"/>
      <c r="S247" s="17"/>
      <c r="T247" s="17"/>
    </row>
    <row r="248" spans="2:20" ht="15.75" hidden="1" outlineLevel="1" x14ac:dyDescent="0.3">
      <c r="B248" s="17"/>
      <c r="C248" s="17"/>
      <c r="D248" s="17" t="s">
        <v>179</v>
      </c>
      <c r="E248" s="17"/>
      <c r="F248" s="38">
        <f>IF(NOT(ISBLANK('Referenz Pflasterwerk'!$I42)),'Referenz Pflasterwerk'!$I42,'Referenz Pflasterwerk'!$F42)*IF(NOT(ISBLANK('Eingabe EF'!$AS27)),'Eingabe EF'!$AS27,'Eingabe EF'!$AQ27)*IF(NOT(ISBLANK('Referenz Pflasterwerk'!$I$12)),'Referenz Pflasterwerk'!$I$12,'Referenz Pflasterwerk'!$F$12)</f>
        <v>0</v>
      </c>
      <c r="G248" s="38">
        <f>IF(NOT(ISBLANK('Referenz Pflasterwerk'!$I42)),'Referenz Pflasterwerk'!$I42,'Referenz Pflasterwerk'!$F42)*IF(NOT(ISBLANK('Eingabe EF'!$AW27)),'Eingabe EF'!$AW27,'Eingabe EF'!$AU27)*IF(NOT(ISBLANK('Referenz Pflasterwerk'!$I$12)),'Referenz Pflasterwerk'!$I$12,'Referenz Pflasterwerk'!$F$12)</f>
        <v>0</v>
      </c>
      <c r="H248" s="38">
        <f>IF(NOT(ISBLANK('Referenz Pflasterwerk'!$I42)),'Referenz Pflasterwerk'!$I42,'Referenz Pflasterwerk'!$F42)*IF(NOT(ISBLANK('Eingabe EF'!$BA27)),'Eingabe EF'!$BA27,'Eingabe EF'!$AY27)*IF(NOT(ISBLANK('Referenz Pflasterwerk'!$I$12)),'Referenz Pflasterwerk'!$I$12,'Referenz Pflasterwerk'!$F$12)</f>
        <v>387.03000000000003</v>
      </c>
      <c r="I248" s="17"/>
      <c r="J248" s="38">
        <f>F248+G248</f>
        <v>0</v>
      </c>
      <c r="K248" s="38">
        <f>SUM(F248:H248)</f>
        <v>387.03000000000003</v>
      </c>
      <c r="L248" s="17" t="s">
        <v>199</v>
      </c>
      <c r="N248" s="17"/>
      <c r="O248" s="17"/>
      <c r="P248" s="17"/>
      <c r="Q248" s="17"/>
      <c r="R248" s="17"/>
      <c r="S248" s="17"/>
      <c r="T248" s="17"/>
    </row>
    <row r="249" spans="2:20" ht="15.75" hidden="1" outlineLevel="1" x14ac:dyDescent="0.3">
      <c r="B249" s="17"/>
      <c r="C249" s="17"/>
      <c r="D249" s="17" t="s">
        <v>180</v>
      </c>
      <c r="E249" s="17"/>
      <c r="F249" s="38">
        <f>IF(NOT(ISBLANK('Referenz Pflasterwerk'!$I43)),'Referenz Pflasterwerk'!$I43,'Referenz Pflasterwerk'!$F43)*IF(NOT(ISBLANK('Eingabe EF'!$AS28)),'Eingabe EF'!$AS28,0)*IF(NOT(ISBLANK('Referenz Pflasterwerk'!$I$12)),'Referenz Pflasterwerk'!$I$12,'Referenz Pflasterwerk'!$F$12)</f>
        <v>0</v>
      </c>
      <c r="G249" s="38">
        <f>IF(NOT(ISBLANK('Referenz Pflasterwerk'!$I43)),'Referenz Pflasterwerk'!$I43,'Referenz Pflasterwerk'!$F43)*IF(NOT(ISBLANK('Eingabe EF'!$AW28)),'Eingabe EF'!$AW28,0)*IF(NOT(ISBLANK('Referenz Pflasterwerk'!$I$12)),'Referenz Pflasterwerk'!$I$12,'Referenz Pflasterwerk'!$F$12)</f>
        <v>0</v>
      </c>
      <c r="H249" s="38">
        <f>IF(NOT(ISBLANK('Referenz Pflasterwerk'!$I43)),'Referenz Pflasterwerk'!$I43,'Referenz Pflasterwerk'!$F43)*IF(NOT(ISBLANK('Eingabe EF'!$BA28)),'Eingabe EF'!$BA28,0)*IF(NOT(ISBLANK('Referenz Pflasterwerk'!$I$12)),'Referenz Pflasterwerk'!$I$12,'Referenz Pflasterwerk'!$F$12)</f>
        <v>0</v>
      </c>
      <c r="I249" s="17"/>
      <c r="J249" s="38">
        <f>F249+G249</f>
        <v>0</v>
      </c>
      <c r="K249" s="38">
        <f t="shared" ref="K249:K250" si="60">SUM(F249:H249)</f>
        <v>0</v>
      </c>
      <c r="L249" s="17" t="s">
        <v>199</v>
      </c>
      <c r="N249" s="17"/>
      <c r="O249" s="17"/>
      <c r="P249" s="17"/>
      <c r="Q249" s="17"/>
      <c r="R249" s="17"/>
      <c r="S249" s="17"/>
      <c r="T249" s="17"/>
    </row>
    <row r="250" spans="2:20" ht="15.75" hidden="1" outlineLevel="1" x14ac:dyDescent="0.3">
      <c r="B250" s="17"/>
      <c r="C250" s="17"/>
      <c r="D250" s="17" t="s">
        <v>181</v>
      </c>
      <c r="E250" s="17"/>
      <c r="F250" s="38">
        <f>IF(NOT(ISBLANK('Referenz Pflasterwerk'!$I44)),'Referenz Pflasterwerk'!$I44,'Referenz Pflasterwerk'!$F44)*IF(NOT(ISBLANK('Eingabe EF'!$AS29)),'Eingabe EF'!$AS29,0)*IF(NOT(ISBLANK('Referenz Pflasterwerk'!$I$12)),'Referenz Pflasterwerk'!$I$12,'Referenz Pflasterwerk'!$F$12)</f>
        <v>0</v>
      </c>
      <c r="G250" s="38">
        <f>IF(NOT(ISBLANK('Referenz Pflasterwerk'!$I44)),'Referenz Pflasterwerk'!$I44,'Referenz Pflasterwerk'!$F44)*IF(NOT(ISBLANK('Eingabe EF'!$AW29)),'Eingabe EF'!$AW29,0)*IF(NOT(ISBLANK('Referenz Pflasterwerk'!$I$12)),'Referenz Pflasterwerk'!$I$12,'Referenz Pflasterwerk'!$F$12)</f>
        <v>0</v>
      </c>
      <c r="H250" s="38">
        <f>IF(NOT(ISBLANK('Referenz Pflasterwerk'!$I44)),'Referenz Pflasterwerk'!$I44,'Referenz Pflasterwerk'!$F44)*IF(NOT(ISBLANK('Eingabe EF'!$BA29)),'Eingabe EF'!$BA29,0)*IF(NOT(ISBLANK('Referenz Pflasterwerk'!$I$12)),'Referenz Pflasterwerk'!$I$12,'Referenz Pflasterwerk'!$F$12)</f>
        <v>0</v>
      </c>
      <c r="I250" s="17"/>
      <c r="J250" s="38">
        <f t="shared" ref="J250" si="61">F250+G250</f>
        <v>0</v>
      </c>
      <c r="K250" s="38">
        <f t="shared" si="60"/>
        <v>0</v>
      </c>
      <c r="L250" s="17" t="s">
        <v>199</v>
      </c>
      <c r="N250" s="17"/>
      <c r="O250" s="17"/>
      <c r="P250" s="17"/>
      <c r="Q250" s="18"/>
      <c r="R250" s="17"/>
      <c r="S250" s="18"/>
      <c r="T250" s="18"/>
    </row>
    <row r="251" spans="2:20" hidden="1" outlineLevel="1" x14ac:dyDescent="0.2">
      <c r="B251" s="17"/>
      <c r="C251" s="17"/>
      <c r="D251" s="17"/>
      <c r="E251" s="17"/>
      <c r="F251" s="17"/>
      <c r="G251" s="17"/>
      <c r="H251" s="17"/>
      <c r="I251" s="17"/>
      <c r="J251" s="20"/>
      <c r="K251" s="20"/>
      <c r="L251" s="17"/>
      <c r="N251" s="21" t="s">
        <v>224</v>
      </c>
      <c r="O251" s="17"/>
      <c r="P251" s="17"/>
      <c r="Q251" s="17"/>
      <c r="R251" s="17"/>
      <c r="S251" s="17"/>
      <c r="T251" s="17"/>
    </row>
    <row r="252" spans="2:20" ht="14.25" hidden="1" outlineLevel="1" x14ac:dyDescent="0.25">
      <c r="B252" s="17"/>
      <c r="C252" s="17"/>
      <c r="D252" s="21" t="s">
        <v>58</v>
      </c>
      <c r="E252" s="21"/>
      <c r="F252" s="74">
        <f>IF(NOT(ISBLANK('Referenz Pflasterwerk'!$I46)),'Referenz Pflasterwerk'!$I46,'Referenz Pflasterwerk'!$F46)*IF(NOT(ISBLANK('Eingabe EF'!$AS31)),'Eingabe EF'!$AS31,'Eingabe EF'!$AQ31)*IF(NOT(ISBLANK('Referenz Pflasterwerk'!$I$12)),'Referenz Pflasterwerk'!$I$12,'Referenz Pflasterwerk'!$F$12)</f>
        <v>0</v>
      </c>
      <c r="G252" s="74">
        <f>IF(NOT(ISBLANK('Referenz Pflasterwerk'!$I46)),'Referenz Pflasterwerk'!$I46,'Referenz Pflasterwerk'!$F46)*IF(NOT(ISBLANK('Eingabe EF'!$AW31)),'Eingabe EF'!$AW31,'Eingabe EF'!$AU31)*IF(NOT(ISBLANK('Referenz Pflasterwerk'!$I$12)),'Referenz Pflasterwerk'!$I$12,'Referenz Pflasterwerk'!$F$12)</f>
        <v>0</v>
      </c>
      <c r="H252" s="74">
        <f>IF(NOT(ISBLANK('Referenz Pflasterwerk'!$I46)),'Referenz Pflasterwerk'!$I46,'Referenz Pflasterwerk'!$F46)*IF(NOT(ISBLANK('Eingabe EF'!$BA31)),'Eingabe EF'!$BA31,'Eingabe EF'!$AY31)*IF(NOT(ISBLANK('Referenz Pflasterwerk'!$I$12)),'Referenz Pflasterwerk'!$I$12,'Referenz Pflasterwerk'!$F$12)</f>
        <v>1040</v>
      </c>
      <c r="I252" s="21"/>
      <c r="J252" s="74">
        <f>F252+G252</f>
        <v>0</v>
      </c>
      <c r="K252" s="74">
        <f t="shared" ref="K252" si="62">SUM(F252:H252)</f>
        <v>1040</v>
      </c>
      <c r="L252" s="21" t="s">
        <v>198</v>
      </c>
      <c r="N252" s="304"/>
      <c r="O252" s="17" t="s">
        <v>225</v>
      </c>
      <c r="P252" s="17"/>
      <c r="Q252" s="18"/>
      <c r="R252" s="17"/>
      <c r="S252" s="42">
        <f>IF(IF(NOT(ISBLANK($G$32)),$G$32,$E$32)&gt;5,S170,0)</f>
        <v>72000</v>
      </c>
      <c r="T252" s="20" t="s">
        <v>109</v>
      </c>
    </row>
    <row r="253" spans="2:20" hidden="1" outlineLevel="1" x14ac:dyDescent="0.2">
      <c r="B253" s="17"/>
      <c r="C253" s="17"/>
      <c r="D253" s="17"/>
      <c r="E253" s="17"/>
      <c r="F253" s="17"/>
      <c r="G253" s="17"/>
      <c r="H253" s="17"/>
      <c r="I253" s="17"/>
      <c r="J253" s="20"/>
      <c r="K253" s="20"/>
      <c r="L253" s="17"/>
      <c r="N253" s="304"/>
      <c r="O253" s="17" t="s">
        <v>226</v>
      </c>
      <c r="P253" s="17"/>
      <c r="Q253" s="17"/>
      <c r="R253" s="17"/>
      <c r="S253" s="42">
        <f>(IF(NOT(ISBLANK($K$27)),$K$27,$I$27)/IF(NOT(ISBLANK($K$32)),$K$32,$I$32)+IF(NOT(ISBLANK($K$27)),$K$27,$I$27)*(IF(NOT(ISBLANK($K$33)),$K$33,$I$33)/100))*E217</f>
        <v>72000</v>
      </c>
      <c r="T253" s="20" t="s">
        <v>109</v>
      </c>
    </row>
    <row r="254" spans="2:20" ht="14.25" hidden="1" outlineLevel="1" x14ac:dyDescent="0.25">
      <c r="B254" s="69"/>
      <c r="C254" s="69" t="s">
        <v>182</v>
      </c>
      <c r="D254" s="70"/>
      <c r="E254" s="70"/>
      <c r="F254" s="71">
        <f>SUM(F255:F257)</f>
        <v>0</v>
      </c>
      <c r="G254" s="71">
        <f t="shared" ref="G254:H254" si="63">SUM(G255:G257)</f>
        <v>0</v>
      </c>
      <c r="H254" s="71">
        <f t="shared" si="63"/>
        <v>424.19999999999993</v>
      </c>
      <c r="I254" s="70"/>
      <c r="J254" s="71">
        <f t="shared" ref="J254" si="64">F254+G254</f>
        <v>0</v>
      </c>
      <c r="K254" s="71">
        <f t="shared" ref="K254" si="65">SUM(F254:H254)</f>
        <v>424.19999999999993</v>
      </c>
      <c r="L254" s="76" t="s">
        <v>198</v>
      </c>
      <c r="N254" s="17"/>
      <c r="O254" s="17"/>
      <c r="P254" s="17"/>
      <c r="Q254" s="18"/>
      <c r="R254" s="17"/>
      <c r="S254" s="18"/>
      <c r="T254" s="18"/>
    </row>
    <row r="255" spans="2:20" ht="15.75" hidden="1" outlineLevel="1" x14ac:dyDescent="0.3">
      <c r="B255" s="17"/>
      <c r="C255" s="17"/>
      <c r="D255" s="17" t="s">
        <v>60</v>
      </c>
      <c r="E255" s="17"/>
      <c r="F255" s="38">
        <f>IF(NOT(ISBLANK('Referenz Pflasterwerk'!$I49)),'Referenz Pflasterwerk'!$I49,'Referenz Pflasterwerk'!$F49)*IF(NOT(ISBLANK('Eingabe EF'!$AS34)),'Eingabe EF'!$AS34,'Eingabe EF'!$AQ34)*IF(NOT(ISBLANK('Referenz Pflasterwerk'!$I$12)),'Referenz Pflasterwerk'!$I$12,'Referenz Pflasterwerk'!$F$12)</f>
        <v>0</v>
      </c>
      <c r="G255" s="38">
        <f>IF(NOT(ISBLANK('Referenz Pflasterwerk'!$I49)),'Referenz Pflasterwerk'!$I49,'Referenz Pflasterwerk'!$F49)*IF(NOT(ISBLANK('Eingabe EF'!$AW34)),'Eingabe EF'!$AW34,'Eingabe EF'!$AU34)*IF(NOT(ISBLANK('Referenz Pflasterwerk'!$I$12)),'Referenz Pflasterwerk'!$I$12,'Referenz Pflasterwerk'!$F$12)</f>
        <v>0</v>
      </c>
      <c r="H255" s="38">
        <f>IF(NOT(ISBLANK('Referenz Pflasterwerk'!$I49)),'Referenz Pflasterwerk'!$I49,'Referenz Pflasterwerk'!$F49)*IF(NOT(ISBLANK('Eingabe EF'!$BA34)),'Eingabe EF'!$BA34,'Eingabe EF'!$AY34)*IF(NOT(ISBLANK('Referenz Pflasterwerk'!$I$12)),'Referenz Pflasterwerk'!$I$12,'Referenz Pflasterwerk'!$F$12)</f>
        <v>356.4</v>
      </c>
      <c r="I255" s="17"/>
      <c r="J255" s="38">
        <f>F255+G255</f>
        <v>0</v>
      </c>
      <c r="K255" s="38">
        <f>SUM(F255:H255)</f>
        <v>356.4</v>
      </c>
      <c r="L255" s="17" t="s">
        <v>199</v>
      </c>
      <c r="N255" s="304"/>
      <c r="O255" s="17" t="s">
        <v>228</v>
      </c>
      <c r="P255" s="17"/>
      <c r="Q255" s="17"/>
      <c r="R255" s="17"/>
      <c r="S255" s="42">
        <f>IF(IF(NOT(ISBLANK($G$32)),$G$32,$E$32)&gt;5,S172,0)</f>
        <v>0</v>
      </c>
      <c r="T255" s="20" t="s">
        <v>109</v>
      </c>
    </row>
    <row r="256" spans="2:20" ht="15.75" hidden="1" outlineLevel="1" x14ac:dyDescent="0.3">
      <c r="B256" s="17"/>
      <c r="C256" s="17"/>
      <c r="D256" s="17" t="s">
        <v>61</v>
      </c>
      <c r="E256" s="17"/>
      <c r="F256" s="38">
        <f>IF(NOT(ISBLANK('Referenz Pflasterwerk'!$I50)),'Referenz Pflasterwerk'!$I50,'Referenz Pflasterwerk'!$F50)*IF(NOT(ISBLANK('Eingabe EF'!$AS35)),'Eingabe EF'!$AS35,'Eingabe EF'!$AQ35)*IF(NOT(ISBLANK('Referenz Pflasterwerk'!$I$12)),'Referenz Pflasterwerk'!$I$12,'Referenz Pflasterwerk'!$F$12)</f>
        <v>0</v>
      </c>
      <c r="G256" s="38">
        <f>IF(NOT(ISBLANK('Referenz Pflasterwerk'!$I50)),'Referenz Pflasterwerk'!$I50,'Referenz Pflasterwerk'!$F50)*IF(NOT(ISBLANK('Eingabe EF'!$AW35)),'Eingabe EF'!$AW35,'Eingabe EF'!$AU35)*IF(NOT(ISBLANK('Referenz Pflasterwerk'!$I$12)),'Referenz Pflasterwerk'!$I$12,'Referenz Pflasterwerk'!$F$12)</f>
        <v>0</v>
      </c>
      <c r="H256" s="38">
        <f>IF(NOT(ISBLANK('Referenz Pflasterwerk'!$I50)),'Referenz Pflasterwerk'!$I50,'Referenz Pflasterwerk'!$F50)*IF(NOT(ISBLANK('Eingabe EF'!$BA35)),'Eingabe EF'!$BA35,'Eingabe EF'!$AY35)*IF(NOT(ISBLANK('Referenz Pflasterwerk'!$I$12)),'Referenz Pflasterwerk'!$I$12,'Referenz Pflasterwerk'!$F$12)</f>
        <v>0</v>
      </c>
      <c r="I256" s="17"/>
      <c r="J256" s="38">
        <f>F256+G256</f>
        <v>0</v>
      </c>
      <c r="K256" s="38">
        <f>SUM(F256:H256)</f>
        <v>0</v>
      </c>
      <c r="L256" s="17" t="s">
        <v>199</v>
      </c>
      <c r="N256" s="304"/>
      <c r="O256" s="17" t="s">
        <v>229</v>
      </c>
      <c r="P256" s="17"/>
      <c r="Q256" s="18"/>
      <c r="R256" s="17"/>
      <c r="S256" s="42">
        <f>IF(NOT(ISBLANK($K$29)),$K$29,$I$29)/IF(NOT(ISBLANK($K$32)),$K$32,$I$32)+IF(NOT(ISBLANK($K$29)),$K$29,$I$29)*(IF(NOT(ISBLANK($K$33)),$K$33,$I$33)/100)</f>
        <v>0</v>
      </c>
      <c r="T256" s="20" t="s">
        <v>109</v>
      </c>
    </row>
    <row r="257" spans="2:20" ht="15.75" hidden="1" outlineLevel="1" x14ac:dyDescent="0.3">
      <c r="B257" s="17"/>
      <c r="C257" s="17"/>
      <c r="D257" s="17" t="s">
        <v>62</v>
      </c>
      <c r="E257" s="17"/>
      <c r="F257" s="38">
        <f>IF(NOT(ISBLANK('Referenz Pflasterwerk'!$I51)),'Referenz Pflasterwerk'!$I51,'Referenz Pflasterwerk'!$F51)*IF(NOT(ISBLANK('Eingabe EF'!$AS36)),'Eingabe EF'!$AS36,'Eingabe EF'!$AQ36)*IF(NOT(ISBLANK('Referenz Pflasterwerk'!$I$12)),'Referenz Pflasterwerk'!$I$12,'Referenz Pflasterwerk'!$F$12)</f>
        <v>0</v>
      </c>
      <c r="G257" s="38">
        <f>IF(NOT(ISBLANK('Referenz Pflasterwerk'!$I51)),'Referenz Pflasterwerk'!$I51,'Referenz Pflasterwerk'!$F51)*IF(NOT(ISBLANK('Eingabe EF'!$AW36)),'Eingabe EF'!$AW36,'Eingabe EF'!$AU36)*IF(NOT(ISBLANK('Referenz Pflasterwerk'!$I$12)),'Referenz Pflasterwerk'!$I$12,'Referenz Pflasterwerk'!$F$12)</f>
        <v>0</v>
      </c>
      <c r="H257" s="38">
        <f>IF(NOT(ISBLANK('Referenz Pflasterwerk'!$I51)),'Referenz Pflasterwerk'!$I51,'Referenz Pflasterwerk'!$F51)*IF(NOT(ISBLANK('Eingabe EF'!$BA36)),'Eingabe EF'!$BA36,'Eingabe EF'!$AY36)*IF(NOT(ISBLANK('Referenz Pflasterwerk'!$I$12)),'Referenz Pflasterwerk'!$I$12,'Referenz Pflasterwerk'!$F$12)</f>
        <v>67.799999999999983</v>
      </c>
      <c r="I257" s="17"/>
      <c r="J257" s="38">
        <f>F257+G257</f>
        <v>0</v>
      </c>
      <c r="K257" s="38">
        <f>SUM(F257:H257)</f>
        <v>67.799999999999983</v>
      </c>
      <c r="L257" s="17" t="s">
        <v>199</v>
      </c>
      <c r="N257" s="17"/>
      <c r="O257" s="17"/>
      <c r="P257" s="17"/>
      <c r="Q257" s="18"/>
      <c r="R257" s="17"/>
      <c r="S257" s="18"/>
      <c r="T257" s="18"/>
    </row>
    <row r="258" spans="2:20" hidden="1" outlineLevel="1" x14ac:dyDescent="0.2">
      <c r="B258" s="17"/>
      <c r="C258" s="17"/>
      <c r="D258" s="17"/>
      <c r="E258" s="17"/>
      <c r="F258" s="17"/>
      <c r="G258" s="17"/>
      <c r="H258" s="17"/>
      <c r="I258" s="17"/>
      <c r="J258" s="17"/>
      <c r="K258" s="20"/>
      <c r="L258" s="20"/>
      <c r="N258" s="17"/>
      <c r="O258" s="17"/>
      <c r="P258" s="17"/>
      <c r="Q258" s="17"/>
      <c r="R258" s="17"/>
      <c r="S258" s="17"/>
      <c r="T258" s="17"/>
    </row>
    <row r="259" spans="2:20" ht="14.25" hidden="1" outlineLevel="1" x14ac:dyDescent="0.25">
      <c r="B259" s="69"/>
      <c r="C259" s="69" t="s">
        <v>52</v>
      </c>
      <c r="D259" s="70"/>
      <c r="E259" s="70"/>
      <c r="F259" s="71">
        <f>SUM(F260:F263)</f>
        <v>0</v>
      </c>
      <c r="G259" s="71">
        <f t="shared" ref="G259:H259" si="66">SUM(G260:G263)</f>
        <v>0</v>
      </c>
      <c r="H259" s="71">
        <f t="shared" si="66"/>
        <v>185.55932668689491</v>
      </c>
      <c r="I259" s="70"/>
      <c r="J259" s="71">
        <f t="shared" ref="J259:J263" si="67">F259+G259</f>
        <v>0</v>
      </c>
      <c r="K259" s="71">
        <f t="shared" ref="K259" si="68">SUM(F259:H259)</f>
        <v>185.55932668689491</v>
      </c>
      <c r="L259" s="76" t="s">
        <v>198</v>
      </c>
      <c r="N259" s="17"/>
      <c r="O259" s="17"/>
      <c r="P259" s="17"/>
      <c r="Q259" s="18"/>
      <c r="R259" s="17"/>
      <c r="S259" s="18"/>
      <c r="T259" s="18"/>
    </row>
    <row r="260" spans="2:20" ht="15.75" hidden="1" outlineLevel="1" x14ac:dyDescent="0.3">
      <c r="B260" s="17"/>
      <c r="C260" s="17"/>
      <c r="D260" s="17" t="s">
        <v>53</v>
      </c>
      <c r="E260" s="17"/>
      <c r="F260" s="38">
        <f>IF(NOT(ISBLANK('Referenz Pflasterwerk'!$I$53)),'Referenz Pflasterwerk'!$I$53,'Referenz Pflasterwerk'!$F$53)*IF(NOT(ISBLANK('Referenz Pflasterwerk'!$I54)),'Referenz Pflasterwerk'!$I54,'Referenz Pflasterwerk'!$F54)*IF(NOT(ISBLANK('Eingabe EF'!$AS39)),'Eingabe EF'!$AS39,'Eingabe EF'!$AQ39)*IF(NOT(ISBLANK('Referenz Pflasterwerk'!$I$12)),'Referenz Pflasterwerk'!$I$12,'Referenz Pflasterwerk'!$F$12)</f>
        <v>0</v>
      </c>
      <c r="G260" s="38">
        <f>IF(NOT(ISBLANK('Referenz Pflasterwerk'!$I$53)),'Referenz Pflasterwerk'!$I$53,'Referenz Pflasterwerk'!$F$53)*IF(NOT(ISBLANK('Referenz Pflasterwerk'!$I54)),'Referenz Pflasterwerk'!$I54,'Referenz Pflasterwerk'!$F54)*IF(NOT(ISBLANK('Eingabe EF'!$AW39)),'Eingabe EF'!$AW39,'Eingabe EF'!$AU39)*IF(NOT(ISBLANK('Referenz Pflasterwerk'!$I$12)),'Referenz Pflasterwerk'!$I$12,'Referenz Pflasterwerk'!$F$12)</f>
        <v>0</v>
      </c>
      <c r="H260" s="38">
        <f>IF(NOT(ISBLANK('Referenz Pflasterwerk'!$I$53)),'Referenz Pflasterwerk'!$I$53,'Referenz Pflasterwerk'!$F$53)*IF(NOT(ISBLANK('Referenz Pflasterwerk'!$I54)),'Referenz Pflasterwerk'!$I54,'Referenz Pflasterwerk'!$F54)*IF(NOT(ISBLANK('Eingabe EF'!$BA39)),'Eingabe EF'!$BA39,'Eingabe EF'!$AY39)*IF(NOT(ISBLANK('Referenz Pflasterwerk'!$I$12)),'Referenz Pflasterwerk'!$I$12,'Referenz Pflasterwerk'!$F$12)</f>
        <v>59.997399219765924</v>
      </c>
      <c r="I260" s="17"/>
      <c r="J260" s="38">
        <f t="shared" si="67"/>
        <v>0</v>
      </c>
      <c r="K260" s="38">
        <f t="shared" ref="K260:K263" si="69">SUM(F260:H260)</f>
        <v>59.997399219765924</v>
      </c>
      <c r="L260" s="17" t="s">
        <v>199</v>
      </c>
    </row>
    <row r="261" spans="2:20" ht="15.75" hidden="1" outlineLevel="1" x14ac:dyDescent="0.3">
      <c r="B261" s="17"/>
      <c r="C261" s="17"/>
      <c r="D261" s="17" t="s">
        <v>55</v>
      </c>
      <c r="E261" s="17"/>
      <c r="F261" s="38">
        <f>IF(NOT(ISBLANK('Referenz Pflasterwerk'!$I$53)),'Referenz Pflasterwerk'!$I$53,'Referenz Pflasterwerk'!$F$53)*IF(NOT(ISBLANK('Referenz Pflasterwerk'!$I55)),'Referenz Pflasterwerk'!$I55,'Referenz Pflasterwerk'!$F55)*IF(NOT(ISBLANK('Eingabe EF'!$AS40)),'Eingabe EF'!$AS40,'Eingabe EF'!$AQ40)*IF(NOT(ISBLANK('Referenz Pflasterwerk'!$I$12)),'Referenz Pflasterwerk'!$I$12,'Referenz Pflasterwerk'!$F$12)</f>
        <v>0</v>
      </c>
      <c r="G261" s="38">
        <f>IF(NOT(ISBLANK('Referenz Pflasterwerk'!$I$53)),'Referenz Pflasterwerk'!$I$53,'Referenz Pflasterwerk'!$F$53)*IF(NOT(ISBLANK('Referenz Pflasterwerk'!$I55)),'Referenz Pflasterwerk'!$I55,'Referenz Pflasterwerk'!$F55)*IF(NOT(ISBLANK('Eingabe EF'!$AW40)),'Eingabe EF'!$AW40,'Eingabe EF'!$AU40)*IF(NOT(ISBLANK('Referenz Pflasterwerk'!$I$12)),'Referenz Pflasterwerk'!$I$12,'Referenz Pflasterwerk'!$F$12)</f>
        <v>0</v>
      </c>
      <c r="H261" s="38">
        <f>IF(NOT(ISBLANK('Referenz Pflasterwerk'!$I$53)),'Referenz Pflasterwerk'!$I$53,'Referenz Pflasterwerk'!$F$53)*IF(NOT(ISBLANK('Referenz Pflasterwerk'!$I55)),'Referenz Pflasterwerk'!$I55,'Referenz Pflasterwerk'!$F55)*IF(NOT(ISBLANK('Eingabe EF'!$BA40)),'Eingabe EF'!$BA40,'Eingabe EF'!$AY40)*IF(NOT(ISBLANK('Referenz Pflasterwerk'!$I$12)),'Referenz Pflasterwerk'!$I$12,'Referenz Pflasterwerk'!$F$12)</f>
        <v>7.224692963444574</v>
      </c>
      <c r="I261" s="17"/>
      <c r="J261" s="38">
        <f t="shared" si="67"/>
        <v>0</v>
      </c>
      <c r="K261" s="38">
        <f t="shared" si="69"/>
        <v>7.224692963444574</v>
      </c>
      <c r="L261" s="17" t="s">
        <v>199</v>
      </c>
    </row>
    <row r="262" spans="2:20" ht="15.75" hidden="1" outlineLevel="1" x14ac:dyDescent="0.3">
      <c r="B262" s="17"/>
      <c r="C262" s="17"/>
      <c r="D262" s="17" t="s">
        <v>56</v>
      </c>
      <c r="E262" s="17"/>
      <c r="F262" s="38">
        <f>IF(NOT(ISBLANK('Referenz Pflasterwerk'!$I$53)),'Referenz Pflasterwerk'!$I$53,'Referenz Pflasterwerk'!$F$53)*IF(NOT(ISBLANK('Referenz Pflasterwerk'!$I56)),'Referenz Pflasterwerk'!$I56,'Referenz Pflasterwerk'!$F56)*IF(NOT(ISBLANK('Eingabe EF'!$AS41)),'Eingabe EF'!$AS41,'Eingabe EF'!$AQ41)*IF(NOT(ISBLANK('Referenz Pflasterwerk'!$I$12)),'Referenz Pflasterwerk'!$I$12,'Referenz Pflasterwerk'!$F$12)</f>
        <v>0</v>
      </c>
      <c r="G262" s="38">
        <f>IF(NOT(ISBLANK('Referenz Pflasterwerk'!$I$53)),'Referenz Pflasterwerk'!$I$53,'Referenz Pflasterwerk'!$F$53)*IF(NOT(ISBLANK('Referenz Pflasterwerk'!$I56)),'Referenz Pflasterwerk'!$I56,'Referenz Pflasterwerk'!$F56)*IF(NOT(ISBLANK('Eingabe EF'!$AW41)),'Eingabe EF'!$AW41,'Eingabe EF'!$AU41)*IF(NOT(ISBLANK('Referenz Pflasterwerk'!$I$12)),'Referenz Pflasterwerk'!$I$12,'Referenz Pflasterwerk'!$F$12)</f>
        <v>0</v>
      </c>
      <c r="H262" s="38">
        <f>IF(NOT(ISBLANK('Referenz Pflasterwerk'!$I$53)),'Referenz Pflasterwerk'!$I$53,'Referenz Pflasterwerk'!$F$53)*IF(NOT(ISBLANK('Referenz Pflasterwerk'!$I56)),'Referenz Pflasterwerk'!$I56,'Referenz Pflasterwerk'!$F56)*IF(NOT(ISBLANK('Eingabe EF'!$BA41)),'Eingabe EF'!$BA41,'Eingabe EF'!$AY41)*IF(NOT(ISBLANK('Referenz Pflasterwerk'!$I$12)),'Referenz Pflasterwerk'!$I$12,'Referenz Pflasterwerk'!$F$12)</f>
        <v>1.7771998266146515E-2</v>
      </c>
      <c r="I262" s="17"/>
      <c r="J262" s="38">
        <f t="shared" si="67"/>
        <v>0</v>
      </c>
      <c r="K262" s="38">
        <f t="shared" si="69"/>
        <v>1.7771998266146515E-2</v>
      </c>
      <c r="L262" s="17" t="s">
        <v>199</v>
      </c>
    </row>
    <row r="263" spans="2:20" ht="15.75" hidden="1" outlineLevel="1" x14ac:dyDescent="0.3">
      <c r="B263" s="17"/>
      <c r="C263" s="17"/>
      <c r="D263" s="17" t="s">
        <v>57</v>
      </c>
      <c r="E263" s="17"/>
      <c r="F263" s="38">
        <f>IF(NOT(ISBLANK('Referenz Pflasterwerk'!$I$53)),'Referenz Pflasterwerk'!$I$53,'Referenz Pflasterwerk'!$F$53)*IF(NOT(ISBLANK('Referenz Pflasterwerk'!$I57)),'Referenz Pflasterwerk'!$I57,'Referenz Pflasterwerk'!$F57)*IF(NOT(ISBLANK('Eingabe EF'!$AS42)),'Eingabe EF'!$AS42,'Eingabe EF'!$AQ42)*IF(NOT(ISBLANK('Referenz Pflasterwerk'!$I$12)),'Referenz Pflasterwerk'!$I$12,'Referenz Pflasterwerk'!$F$12)</f>
        <v>0</v>
      </c>
      <c r="G263" s="38">
        <f>IF(NOT(ISBLANK('Referenz Pflasterwerk'!$I$53)),'Referenz Pflasterwerk'!$I$53,'Referenz Pflasterwerk'!$F$53)*IF(NOT(ISBLANK('Referenz Pflasterwerk'!$I57)),'Referenz Pflasterwerk'!$I57,'Referenz Pflasterwerk'!$F57)*IF(NOT(ISBLANK('Eingabe EF'!$AW42)),'Eingabe EF'!$AW42,'Eingabe EF'!$AU42)*IF(NOT(ISBLANK('Referenz Pflasterwerk'!$I$12)),'Referenz Pflasterwerk'!$I$12,'Referenz Pflasterwerk'!$F$12)</f>
        <v>0</v>
      </c>
      <c r="H263" s="38">
        <f>IF(NOT(ISBLANK('Referenz Pflasterwerk'!$I$53)),'Referenz Pflasterwerk'!$I$53,'Referenz Pflasterwerk'!$F$53)*IF(NOT(ISBLANK('Referenz Pflasterwerk'!$I57)),'Referenz Pflasterwerk'!$I57,'Referenz Pflasterwerk'!$F57)*IF(NOT(ISBLANK('Eingabe EF'!$BA42)),'Eingabe EF'!$BA42,'Eingabe EF'!$AY42)*IF(NOT(ISBLANK('Referenz Pflasterwerk'!$I$12)),'Referenz Pflasterwerk'!$I$12,'Referenz Pflasterwerk'!$F$12)</f>
        <v>118.31946250541829</v>
      </c>
      <c r="I263" s="17"/>
      <c r="J263" s="38">
        <f t="shared" si="67"/>
        <v>0</v>
      </c>
      <c r="K263" s="38">
        <f t="shared" si="69"/>
        <v>118.31946250541829</v>
      </c>
      <c r="L263" s="17" t="s">
        <v>199</v>
      </c>
    </row>
    <row r="264" spans="2:20" hidden="1" outlineLevel="1" x14ac:dyDescent="0.2">
      <c r="B264" s="17"/>
      <c r="C264" s="17"/>
      <c r="D264" s="17"/>
      <c r="E264" s="17"/>
      <c r="F264" s="17"/>
      <c r="G264" s="17"/>
      <c r="H264" s="17"/>
      <c r="I264" s="17"/>
      <c r="J264" s="17"/>
      <c r="K264" s="17"/>
      <c r="L264" s="20"/>
    </row>
    <row r="265" spans="2:20" ht="14.25" hidden="1" outlineLevel="1" x14ac:dyDescent="0.25">
      <c r="B265" s="17"/>
      <c r="C265" s="17"/>
      <c r="D265" s="21" t="s">
        <v>113</v>
      </c>
      <c r="E265" s="21"/>
      <c r="F265" s="74">
        <f>IF(NOT(ISBLANK('Referenz Pflasterwerk'!$I59)),'Referenz Pflasterwerk'!$I59,'Referenz Pflasterwerk'!$F59)*IF(NOT(ISBLANK('Eingabe EF'!$AS44)),'Eingabe EF'!$AS44,0)*IF(NOT(ISBLANK('Referenz Pflasterwerk'!$I$12)),'Referenz Pflasterwerk'!$I$12,'Referenz Pflasterwerk'!$F$12)</f>
        <v>0</v>
      </c>
      <c r="G265" s="74">
        <f>IF(NOT(ISBLANK('Referenz Pflasterwerk'!$I59)),'Referenz Pflasterwerk'!$I59,'Referenz Pflasterwerk'!$F59)*IF(NOT(ISBLANK('Eingabe EF'!$AW44)),'Eingabe EF'!$AW44,0)*IF(NOT(ISBLANK('Referenz Pflasterwerk'!$I$12)),'Referenz Pflasterwerk'!$I$12,'Referenz Pflasterwerk'!$F$12)</f>
        <v>0</v>
      </c>
      <c r="H265" s="74">
        <f>IF(NOT(ISBLANK('Referenz Pflasterwerk'!$I59)),'Referenz Pflasterwerk'!$I59,'Referenz Pflasterwerk'!$F59)*IF(NOT(ISBLANK('Eingabe EF'!$BA44)),'Eingabe EF'!$BA44,0)*IF(NOT(ISBLANK('Referenz Pflasterwerk'!$I$12)),'Referenz Pflasterwerk'!$I$12,'Referenz Pflasterwerk'!$F$12)</f>
        <v>0</v>
      </c>
      <c r="I265" s="21"/>
      <c r="J265" s="74">
        <f>F265+G265</f>
        <v>0</v>
      </c>
      <c r="K265" s="74">
        <f>SUM(F265:H265)</f>
        <v>0</v>
      </c>
      <c r="L265" s="21" t="s">
        <v>198</v>
      </c>
    </row>
    <row r="266" spans="2:20" ht="14.25" hidden="1" outlineLevel="1" x14ac:dyDescent="0.25">
      <c r="B266" s="17"/>
      <c r="C266" s="17"/>
      <c r="D266" s="21" t="s">
        <v>65</v>
      </c>
      <c r="E266" s="21"/>
      <c r="F266" s="75">
        <f>IF(NOT(ISBLANK('Referenz Pflasterwerk'!$I60)),'Referenz Pflasterwerk'!$I60,'Referenz Pflasterwerk'!$F60)*IF(NOT(ISBLANK('Eingabe EF'!$AS45)),'Eingabe EF'!$AS45,'Eingabe EF'!$AQ45)</f>
        <v>0</v>
      </c>
      <c r="G266" s="75">
        <f>IF(NOT(ISBLANK('Referenz Pflasterwerk'!$I60)),'Referenz Pflasterwerk'!$I60,'Referenz Pflasterwerk'!$F60)*IF(NOT(ISBLANK('Eingabe EF'!$AW45)),'Eingabe EF'!$AW45,'Eingabe EF'!$AU45)</f>
        <v>0</v>
      </c>
      <c r="H266" s="75">
        <f>IF(NOT(ISBLANK('Referenz Pflasterwerk'!$I60)),'Referenz Pflasterwerk'!$I60,'Referenz Pflasterwerk'!$F60)*IF(NOT(ISBLANK('Eingabe EF'!$BA45)),'Eingabe EF'!$BA45,'Eingabe EF'!$AY45)</f>
        <v>5.4399999999999997E-2</v>
      </c>
      <c r="I266" s="21"/>
      <c r="J266" s="74">
        <f>F266+G266</f>
        <v>0</v>
      </c>
      <c r="K266" s="74">
        <f>SUM(F266:H266)</f>
        <v>5.4399999999999997E-2</v>
      </c>
      <c r="L266" s="21" t="s">
        <v>198</v>
      </c>
    </row>
    <row r="267" spans="2:20" hidden="1" outlineLevel="1" x14ac:dyDescent="0.2">
      <c r="B267" s="17"/>
      <c r="C267" s="17"/>
      <c r="D267" s="17"/>
      <c r="E267" s="17"/>
      <c r="F267" s="17"/>
      <c r="G267" s="17"/>
      <c r="H267" s="17"/>
      <c r="I267" s="17"/>
      <c r="J267" s="17"/>
      <c r="K267" s="17"/>
      <c r="L267" s="20"/>
    </row>
    <row r="268" spans="2:20" ht="14.25" hidden="1" outlineLevel="1" x14ac:dyDescent="0.25">
      <c r="B268" s="69"/>
      <c r="C268" s="69" t="s">
        <v>183</v>
      </c>
      <c r="D268" s="70"/>
      <c r="E268" s="70"/>
      <c r="F268" s="71">
        <f>SUM(F269:F271)</f>
        <v>0</v>
      </c>
      <c r="G268" s="71">
        <f t="shared" ref="G268:H268" si="70">SUM(G269:G271)</f>
        <v>0</v>
      </c>
      <c r="H268" s="71">
        <f t="shared" si="70"/>
        <v>0</v>
      </c>
      <c r="I268" s="70"/>
      <c r="J268" s="71">
        <f t="shared" ref="J268" si="71">F268+G268</f>
        <v>0</v>
      </c>
      <c r="K268" s="71">
        <f t="shared" ref="K268" si="72">SUM(F268:H268)</f>
        <v>0</v>
      </c>
      <c r="L268" s="76" t="s">
        <v>198</v>
      </c>
    </row>
    <row r="269" spans="2:20" ht="15.75" hidden="1" outlineLevel="1" x14ac:dyDescent="0.3">
      <c r="B269" s="17"/>
      <c r="C269" s="17"/>
      <c r="D269" s="17" t="s">
        <v>184</v>
      </c>
      <c r="E269" s="17"/>
      <c r="F269" s="38">
        <f>IF(NOT(ISBLANK('Referenz Pflasterwerk'!$I63)),'Referenz Pflasterwerk'!$I63,'Referenz Pflasterwerk'!$F63)*IF(NOT(ISBLANK('Eingabe EF'!$AS48)),'Eingabe EF'!$AS48,0)*IF(NOT(ISBLANK('Referenz Pflasterwerk'!$I$12)),'Referenz Pflasterwerk'!$I$12,'Referenz Pflasterwerk'!$F$12)</f>
        <v>0</v>
      </c>
      <c r="G269" s="38">
        <f>IF(NOT(ISBLANK('Referenz Pflasterwerk'!$I63)),'Referenz Pflasterwerk'!$I63,'Referenz Pflasterwerk'!$F63)*IF(NOT(ISBLANK('Eingabe EF'!$AW48)),'Eingabe EF'!$AW48,0)*IF(NOT(ISBLANK('Referenz Pflasterwerk'!$I$12)),'Referenz Pflasterwerk'!$I$12,'Referenz Pflasterwerk'!$F$12)</f>
        <v>0</v>
      </c>
      <c r="H269" s="38">
        <f>IF(NOT(ISBLANK('Referenz Pflasterwerk'!$I63)),'Referenz Pflasterwerk'!$I63,'Referenz Pflasterwerk'!$F63)*IF(NOT(ISBLANK('Eingabe EF'!$BA48)),'Eingabe EF'!$BA48,0)*IF(NOT(ISBLANK('Referenz Pflasterwerk'!$I$12)),'Referenz Pflasterwerk'!$I$12,'Referenz Pflasterwerk'!$F$12)</f>
        <v>0</v>
      </c>
      <c r="I269" s="17"/>
      <c r="J269" s="38">
        <f>F269+G269</f>
        <v>0</v>
      </c>
      <c r="K269" s="38">
        <f>SUM(F269:H269)</f>
        <v>0</v>
      </c>
      <c r="L269" s="17" t="s">
        <v>199</v>
      </c>
    </row>
    <row r="270" spans="2:20" ht="15.75" hidden="1" outlineLevel="1" x14ac:dyDescent="0.3">
      <c r="B270" s="17"/>
      <c r="C270" s="17"/>
      <c r="D270" s="17" t="s">
        <v>63</v>
      </c>
      <c r="E270" s="17"/>
      <c r="F270" s="38">
        <f>IF(NOT(ISBLANK('Referenz Pflasterwerk'!$I64)),'Referenz Pflasterwerk'!$I64,'Referenz Pflasterwerk'!$F64)*IF(NOT(ISBLANK('Eingabe EF'!$AS49)),'Eingabe EF'!$AS49,'Eingabe EF'!$AQ49)*IF(NOT(ISBLANK('Referenz Pflasterwerk'!$I$12)),'Referenz Pflasterwerk'!$I$12,'Referenz Pflasterwerk'!$F$12)</f>
        <v>0</v>
      </c>
      <c r="G270" s="38">
        <f>IF(NOT(ISBLANK('Referenz Pflasterwerk'!$I64)),'Referenz Pflasterwerk'!$I64,'Referenz Pflasterwerk'!$F64)*IF(NOT(ISBLANK('Eingabe EF'!$AW49)),'Eingabe EF'!$AW49,'Eingabe EF'!$AU49)*IF(NOT(ISBLANK('Referenz Pflasterwerk'!$I$12)),'Referenz Pflasterwerk'!$I$12,'Referenz Pflasterwerk'!$F$12)</f>
        <v>0</v>
      </c>
      <c r="H270" s="38">
        <f>IF(NOT(ISBLANK('Referenz Pflasterwerk'!$I64)),'Referenz Pflasterwerk'!$I64,'Referenz Pflasterwerk'!$F64)*IF(NOT(ISBLANK('Eingabe EF'!$BA49)),'Eingabe EF'!$BA49,'Eingabe EF'!$AY49)*IF(NOT(ISBLANK('Referenz Pflasterwerk'!$I$12)),'Referenz Pflasterwerk'!$I$12,'Referenz Pflasterwerk'!$F$12)</f>
        <v>0</v>
      </c>
      <c r="I270" s="17"/>
      <c r="J270" s="38">
        <f t="shared" ref="J270" si="73">F270+G270</f>
        <v>0</v>
      </c>
      <c r="K270" s="38">
        <f t="shared" ref="K270" si="74">SUM(F270:H270)</f>
        <v>0</v>
      </c>
      <c r="L270" s="17" t="s">
        <v>199</v>
      </c>
    </row>
    <row r="271" spans="2:20" ht="15.75" hidden="1" outlineLevel="1" x14ac:dyDescent="0.3">
      <c r="B271" s="17"/>
      <c r="C271" s="17"/>
      <c r="D271" s="17" t="s">
        <v>185</v>
      </c>
      <c r="E271" s="17"/>
      <c r="F271" s="38">
        <f>IF(NOT(ISBLANK('Referenz Pflasterwerk'!$I65)),'Referenz Pflasterwerk'!$I65,'Referenz Pflasterwerk'!$F65)*IF(NOT(ISBLANK('Eingabe EF'!$AS50)),'Eingabe EF'!$AS50,0)*IF(NOT(ISBLANK('Referenz Pflasterwerk'!$I$12)),'Referenz Pflasterwerk'!$I$12,'Referenz Pflasterwerk'!$F$12)</f>
        <v>0</v>
      </c>
      <c r="G271" s="38">
        <f>IF(NOT(ISBLANK('Referenz Pflasterwerk'!$I65)),'Referenz Pflasterwerk'!$I65,'Referenz Pflasterwerk'!$F65)*IF(NOT(ISBLANK('Eingabe EF'!$AW50)),'Eingabe EF'!$AW50,0)*IF(NOT(ISBLANK('Referenz Pflasterwerk'!$I$12)),'Referenz Pflasterwerk'!$I$12,'Referenz Pflasterwerk'!$F$12)</f>
        <v>0</v>
      </c>
      <c r="H271" s="38">
        <f>IF(NOT(ISBLANK('Referenz Pflasterwerk'!$I65)),'Referenz Pflasterwerk'!$I65,'Referenz Pflasterwerk'!$F65)*IF(NOT(ISBLANK('Eingabe EF'!$BA50)),'Eingabe EF'!$BA50,0)*IF(NOT(ISBLANK('Referenz Pflasterwerk'!$I$12)),'Referenz Pflasterwerk'!$I$12,'Referenz Pflasterwerk'!$F$12)</f>
        <v>0</v>
      </c>
      <c r="I271" s="17"/>
      <c r="J271" s="38">
        <f>F271+G271</f>
        <v>0</v>
      </c>
      <c r="K271" s="38">
        <f>SUM(F271:H271)</f>
        <v>0</v>
      </c>
      <c r="L271" s="17" t="s">
        <v>199</v>
      </c>
    </row>
    <row r="272" spans="2:20" hidden="1" outlineLevel="1" x14ac:dyDescent="0.2">
      <c r="B272" s="17"/>
      <c r="C272" s="17"/>
      <c r="D272" s="17"/>
      <c r="E272" s="17"/>
      <c r="F272" s="17"/>
      <c r="G272" s="17"/>
      <c r="H272" s="17"/>
      <c r="I272" s="17"/>
      <c r="J272" s="17"/>
      <c r="K272" s="17"/>
      <c r="L272" s="20"/>
    </row>
    <row r="273" spans="2:12" ht="14.25" hidden="1" outlineLevel="1" x14ac:dyDescent="0.25">
      <c r="B273" s="69"/>
      <c r="C273" s="69" t="s">
        <v>186</v>
      </c>
      <c r="D273" s="70"/>
      <c r="E273" s="70"/>
      <c r="F273" s="71">
        <f>SUM(F274:F276)</f>
        <v>0</v>
      </c>
      <c r="G273" s="71">
        <f t="shared" ref="G273:H273" si="75">SUM(G274:G276)</f>
        <v>0</v>
      </c>
      <c r="H273" s="71">
        <f t="shared" si="75"/>
        <v>0</v>
      </c>
      <c r="I273" s="70"/>
      <c r="J273" s="71">
        <f t="shared" ref="J273" si="76">F273+G273</f>
        <v>0</v>
      </c>
      <c r="K273" s="71">
        <f t="shared" ref="K273" si="77">SUM(F273:H273)</f>
        <v>0</v>
      </c>
      <c r="L273" s="76" t="s">
        <v>198</v>
      </c>
    </row>
    <row r="274" spans="2:12" ht="15.75" hidden="1" outlineLevel="1" x14ac:dyDescent="0.3">
      <c r="B274" s="17"/>
      <c r="C274" s="17"/>
      <c r="D274" s="17" t="s">
        <v>67</v>
      </c>
      <c r="E274" s="17"/>
      <c r="F274" s="44">
        <f>IF(NOT(ISBLANK('Referenz Pflasterwerk'!$I68)),'Referenz Pflasterwerk'!$I68,'Referenz Pflasterwerk'!$F68)*IF(NOT(ISBLANK('Eingabe EF'!$AS53)),'Eingabe EF'!$AS53,'Eingabe EF'!$AQ53)</f>
        <v>0</v>
      </c>
      <c r="G274" s="44">
        <f>IF(NOT(ISBLANK('Referenz Pflasterwerk'!$I68)),'Referenz Pflasterwerk'!$I68,'Referenz Pflasterwerk'!$F68)*IF(NOT(ISBLANK('Eingabe EF'!$AW53)),'Eingabe EF'!$AW53,'Eingabe EF'!$AU53)</f>
        <v>0</v>
      </c>
      <c r="H274" s="44">
        <f>IF(NOT(ISBLANK('Referenz Pflasterwerk'!$I68)),'Referenz Pflasterwerk'!$I68,'Referenz Pflasterwerk'!$F68)*IF(NOT(ISBLANK('Eingabe EF'!$BA53)),'Eingabe EF'!$BA53,'Eingabe EF'!$AY53)</f>
        <v>0</v>
      </c>
      <c r="I274" s="17"/>
      <c r="J274" s="38">
        <f>F274+G274</f>
        <v>0</v>
      </c>
      <c r="K274" s="38">
        <f>SUM(F274:H274)</f>
        <v>0</v>
      </c>
      <c r="L274" s="17" t="s">
        <v>199</v>
      </c>
    </row>
    <row r="275" spans="2:12" ht="15.75" hidden="1" outlineLevel="1" x14ac:dyDescent="0.3">
      <c r="B275" s="17"/>
      <c r="C275" s="17"/>
      <c r="D275" s="17" t="s">
        <v>188</v>
      </c>
      <c r="E275" s="17"/>
      <c r="F275" s="44">
        <f>IF(NOT(ISBLANK('Referenz Pflasterwerk'!$I69)),'Referenz Pflasterwerk'!$I69,'Referenz Pflasterwerk'!$F69)*IF(NOT(ISBLANK('Eingabe EF'!$AS54)),'Eingabe EF'!$AS54,0)</f>
        <v>0</v>
      </c>
      <c r="G275" s="44">
        <f>IF(NOT(ISBLANK('Referenz Pflasterwerk'!$I69)),'Referenz Pflasterwerk'!$I69,'Referenz Pflasterwerk'!$F69)*IF(NOT(ISBLANK('Eingabe EF'!$AW54)),'Eingabe EF'!$AW54,0)</f>
        <v>0</v>
      </c>
      <c r="H275" s="44">
        <f>IF(NOT(ISBLANK('Referenz Pflasterwerk'!$I69)),'Referenz Pflasterwerk'!$I69,'Referenz Pflasterwerk'!$F69)*IF(NOT(ISBLANK('Eingabe EF'!$BA54)),'Eingabe EF'!$BA54,0)</f>
        <v>0</v>
      </c>
      <c r="I275" s="17"/>
      <c r="J275" s="38">
        <f t="shared" ref="J275:J276" si="78">F275+G275</f>
        <v>0</v>
      </c>
      <c r="K275" s="38">
        <f t="shared" ref="K275:K276" si="79">SUM(F275:H275)</f>
        <v>0</v>
      </c>
      <c r="L275" s="17" t="s">
        <v>199</v>
      </c>
    </row>
    <row r="276" spans="2:12" ht="15.75" hidden="1" outlineLevel="1" x14ac:dyDescent="0.3">
      <c r="B276" s="17"/>
      <c r="C276" s="17"/>
      <c r="D276" s="17" t="s">
        <v>187</v>
      </c>
      <c r="E276" s="17"/>
      <c r="F276" s="44">
        <f>IF(NOT(ISBLANK('Referenz Pflasterwerk'!$I70)),'Referenz Pflasterwerk'!$I70,'Referenz Pflasterwerk'!$F70)*IF(NOT(ISBLANK('Eingabe EF'!$AS55)),'Eingabe EF'!$AS55,0)</f>
        <v>0</v>
      </c>
      <c r="G276" s="44">
        <f>IF(NOT(ISBLANK('Referenz Pflasterwerk'!$I70)),'Referenz Pflasterwerk'!$I70,'Referenz Pflasterwerk'!$F70)*IF(NOT(ISBLANK('Eingabe EF'!$AW55)),'Eingabe EF'!$AW55,0)</f>
        <v>0</v>
      </c>
      <c r="H276" s="44">
        <f>IF(NOT(ISBLANK('Referenz Pflasterwerk'!$I70)),'Referenz Pflasterwerk'!$I70,'Referenz Pflasterwerk'!$F70)*IF(NOT(ISBLANK('Eingabe EF'!$BA55)),'Eingabe EF'!$BA55,0)</f>
        <v>0</v>
      </c>
      <c r="I276" s="17"/>
      <c r="J276" s="38">
        <f t="shared" si="78"/>
        <v>0</v>
      </c>
      <c r="K276" s="38">
        <f t="shared" si="79"/>
        <v>0</v>
      </c>
      <c r="L276" s="17" t="s">
        <v>199</v>
      </c>
    </row>
    <row r="277" spans="2:12" hidden="1" outlineLevel="1" x14ac:dyDescent="0.2">
      <c r="B277" s="17"/>
      <c r="C277" s="17"/>
      <c r="D277" s="17"/>
      <c r="E277" s="17"/>
      <c r="F277" s="17"/>
      <c r="G277" s="17"/>
      <c r="H277" s="17"/>
      <c r="I277" s="17"/>
      <c r="J277" s="17"/>
      <c r="K277" s="17"/>
      <c r="L277" s="20"/>
    </row>
    <row r="278" spans="2:12" ht="14.25" hidden="1" outlineLevel="1" x14ac:dyDescent="0.25">
      <c r="B278" s="17"/>
      <c r="C278" s="17"/>
      <c r="D278" s="21" t="s">
        <v>64</v>
      </c>
      <c r="E278" s="21"/>
      <c r="F278" s="75">
        <f>IF(NOT(ISBLANK('Referenz Pflasterwerk'!$I72)),'Referenz Pflasterwerk'!$I72,'Referenz Pflasterwerk'!$F72)*IF(NOT(ISBLANK('Eingabe EF'!$AS57)),'Eingabe EF'!$AS57,'Eingabe EF'!$AQ57)</f>
        <v>0</v>
      </c>
      <c r="G278" s="75">
        <f>IF(NOT(ISBLANK('Referenz Pflasterwerk'!$I72)),'Referenz Pflasterwerk'!$I72,'Referenz Pflasterwerk'!$F72)*IF(NOT(ISBLANK('Eingabe EF'!$AW57)),'Eingabe EF'!$AW57,'Eingabe EF'!$AU57)</f>
        <v>0</v>
      </c>
      <c r="H278" s="75">
        <f>IF(NOT(ISBLANK('Referenz Pflasterwerk'!$I72)),'Referenz Pflasterwerk'!$I72,'Referenz Pflasterwerk'!$F72)*IF(NOT(ISBLANK('Eingabe EF'!$BA57)),'Eingabe EF'!$BA57,'Eingabe EF'!$AY57)</f>
        <v>161.20000000000002</v>
      </c>
      <c r="I278" s="21"/>
      <c r="J278" s="74">
        <f t="shared" ref="J278" si="80">F278+G278</f>
        <v>0</v>
      </c>
      <c r="K278" s="74">
        <f t="shared" ref="K278" si="81">SUM(F278:H278)</f>
        <v>161.20000000000002</v>
      </c>
      <c r="L278" s="21" t="s">
        <v>198</v>
      </c>
    </row>
    <row r="279" spans="2:12" hidden="1" outlineLevel="1" x14ac:dyDescent="0.2">
      <c r="B279" s="17"/>
      <c r="C279" s="17"/>
      <c r="D279" s="17"/>
      <c r="E279" s="17"/>
      <c r="F279" s="20"/>
      <c r="G279" s="20"/>
      <c r="H279" s="20"/>
      <c r="I279" s="17"/>
      <c r="J279" s="17"/>
      <c r="K279" s="20"/>
      <c r="L279" s="20"/>
    </row>
    <row r="280" spans="2:12" ht="15" hidden="1" outlineLevel="1" thickBot="1" x14ac:dyDescent="0.3">
      <c r="B280" s="17"/>
      <c r="C280" s="17"/>
      <c r="D280" s="67" t="s">
        <v>70</v>
      </c>
      <c r="E280" s="67"/>
      <c r="F280" s="68">
        <f>SUM(F223:F278)-F237-F241-F247-F254-F259-F268-F273</f>
        <v>98.095006368</v>
      </c>
      <c r="G280" s="68">
        <f t="shared" ref="G280:H280" si="82">SUM(G223:G278)-G237-G241-G247-G254-G259-G268-G273</f>
        <v>102.58759141018427</v>
      </c>
      <c r="H280" s="68">
        <f t="shared" si="82"/>
        <v>10492.159182410947</v>
      </c>
      <c r="I280" s="21"/>
      <c r="J280" s="68">
        <f t="shared" ref="J280:K280" si="83">SUM(J223:J278)-J237-J241-J247-J254-J259-J268-J273</f>
        <v>200.68259777818426</v>
      </c>
      <c r="K280" s="68">
        <f t="shared" si="83"/>
        <v>10692.841780189132</v>
      </c>
      <c r="L280" s="68" t="s">
        <v>198</v>
      </c>
    </row>
    <row r="281" spans="2:12" ht="13.5" hidden="1" outlineLevel="1" thickTop="1" x14ac:dyDescent="0.2">
      <c r="B281" s="17"/>
      <c r="C281" s="17"/>
      <c r="D281" s="17"/>
      <c r="E281" s="17"/>
      <c r="F281" s="20"/>
      <c r="G281" s="20"/>
      <c r="H281" s="20"/>
      <c r="I281" s="17"/>
      <c r="J281" s="17"/>
      <c r="K281" s="20"/>
      <c r="L281" s="20"/>
    </row>
    <row r="282" spans="2:12" collapsed="1" x14ac:dyDescent="0.2"/>
  </sheetData>
  <sheetProtection algorithmName="SHA-512" hashValue="oJHCHzlF9Qm4pfF0XKK7rWGxWNC86zJJ348llzafgq0yGTzdbdMMr1nyh/0IaqvI8tpa1YfUdEuU0mRFiBg+kw==" saltValue="riBd/4mzJP3t7qsTaVWXNA==" spinCount="100000" sheet="1" selectLockedCells="1"/>
  <mergeCells count="7">
    <mergeCell ref="E13:G13"/>
    <mergeCell ref="D6:L6"/>
    <mergeCell ref="C79:C80"/>
    <mergeCell ref="S79:S80"/>
    <mergeCell ref="K88:K89"/>
    <mergeCell ref="E20:G20"/>
    <mergeCell ref="I20:K20"/>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2</xdr:col>
                    <xdr:colOff>523875</xdr:colOff>
                    <xdr:row>80</xdr:row>
                    <xdr:rowOff>28575</xdr:rowOff>
                  </from>
                  <to>
                    <xdr:col>2</xdr:col>
                    <xdr:colOff>704850</xdr:colOff>
                    <xdr:row>81</xdr:row>
                    <xdr:rowOff>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2</xdr:col>
                    <xdr:colOff>523875</xdr:colOff>
                    <xdr:row>81</xdr:row>
                    <xdr:rowOff>28575</xdr:rowOff>
                  </from>
                  <to>
                    <xdr:col>2</xdr:col>
                    <xdr:colOff>704850</xdr:colOff>
                    <xdr:row>81</xdr:row>
                    <xdr:rowOff>190500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xdr:col>
                    <xdr:colOff>523875</xdr:colOff>
                    <xdr:row>82</xdr:row>
                    <xdr:rowOff>28575</xdr:rowOff>
                  </from>
                  <to>
                    <xdr:col>2</xdr:col>
                    <xdr:colOff>704850</xdr:colOff>
                    <xdr:row>82</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xdr:col>
                    <xdr:colOff>523875</xdr:colOff>
                    <xdr:row>83</xdr:row>
                    <xdr:rowOff>19050</xdr:rowOff>
                  </from>
                  <to>
                    <xdr:col>2</xdr:col>
                    <xdr:colOff>704850</xdr:colOff>
                    <xdr:row>83</xdr:row>
                    <xdr:rowOff>190500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2</xdr:col>
                    <xdr:colOff>523875</xdr:colOff>
                    <xdr:row>84</xdr:row>
                    <xdr:rowOff>19050</xdr:rowOff>
                  </from>
                  <to>
                    <xdr:col>2</xdr:col>
                    <xdr:colOff>704850</xdr:colOff>
                    <xdr:row>84</xdr:row>
                    <xdr:rowOff>180975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2</xdr:col>
                    <xdr:colOff>523875</xdr:colOff>
                    <xdr:row>85</xdr:row>
                    <xdr:rowOff>0</xdr:rowOff>
                  </from>
                  <to>
                    <xdr:col>2</xdr:col>
                    <xdr:colOff>704850</xdr:colOff>
                    <xdr:row>85</xdr:row>
                    <xdr:rowOff>180975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2</xdr:col>
                    <xdr:colOff>523875</xdr:colOff>
                    <xdr:row>86</xdr:row>
                    <xdr:rowOff>9525</xdr:rowOff>
                  </from>
                  <to>
                    <xdr:col>2</xdr:col>
                    <xdr:colOff>704850</xdr:colOff>
                    <xdr:row>86</xdr:row>
                    <xdr:rowOff>190500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18</xdr:col>
                    <xdr:colOff>457200</xdr:colOff>
                    <xdr:row>91</xdr:row>
                    <xdr:rowOff>0</xdr:rowOff>
                  </from>
                  <to>
                    <xdr:col>18</xdr:col>
                    <xdr:colOff>676275</xdr:colOff>
                    <xdr:row>91</xdr:row>
                    <xdr:rowOff>180975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18</xdr:col>
                    <xdr:colOff>571500</xdr:colOff>
                    <xdr:row>92</xdr:row>
                    <xdr:rowOff>19050</xdr:rowOff>
                  </from>
                  <to>
                    <xdr:col>19</xdr:col>
                    <xdr:colOff>0</xdr:colOff>
                    <xdr:row>93</xdr:row>
                    <xdr:rowOff>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18</xdr:col>
                    <xdr:colOff>571500</xdr:colOff>
                    <xdr:row>93</xdr:row>
                    <xdr:rowOff>19050</xdr:rowOff>
                  </from>
                  <to>
                    <xdr:col>19</xdr:col>
                    <xdr:colOff>0</xdr:colOff>
                    <xdr:row>94</xdr:row>
                    <xdr:rowOff>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18</xdr:col>
                    <xdr:colOff>571500</xdr:colOff>
                    <xdr:row>94</xdr:row>
                    <xdr:rowOff>9525</xdr:rowOff>
                  </from>
                  <to>
                    <xdr:col>19</xdr:col>
                    <xdr:colOff>0</xdr:colOff>
                    <xdr:row>94</xdr:row>
                    <xdr:rowOff>190500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18</xdr:col>
                    <xdr:colOff>457200</xdr:colOff>
                    <xdr:row>89</xdr:row>
                    <xdr:rowOff>9525</xdr:rowOff>
                  </from>
                  <to>
                    <xdr:col>18</xdr:col>
                    <xdr:colOff>676275</xdr:colOff>
                    <xdr:row>90</xdr:row>
                    <xdr:rowOff>9525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18</xdr:col>
                    <xdr:colOff>457200</xdr:colOff>
                    <xdr:row>88</xdr:row>
                    <xdr:rowOff>0</xdr:rowOff>
                  </from>
                  <to>
                    <xdr:col>18</xdr:col>
                    <xdr:colOff>676275</xdr:colOff>
                    <xdr:row>89</xdr:row>
                    <xdr:rowOff>9525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18</xdr:col>
                    <xdr:colOff>457200</xdr:colOff>
                    <xdr:row>90</xdr:row>
                    <xdr:rowOff>9525</xdr:rowOff>
                  </from>
                  <to>
                    <xdr:col>18</xdr:col>
                    <xdr:colOff>676275</xdr:colOff>
                    <xdr:row>91</xdr:row>
                    <xdr:rowOff>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10</xdr:col>
                    <xdr:colOff>514350</xdr:colOff>
                    <xdr:row>88</xdr:row>
                    <xdr:rowOff>152400</xdr:rowOff>
                  </from>
                  <to>
                    <xdr:col>10</xdr:col>
                    <xdr:colOff>723900</xdr:colOff>
                    <xdr:row>90</xdr:row>
                    <xdr:rowOff>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10</xdr:col>
                    <xdr:colOff>514350</xdr:colOff>
                    <xdr:row>89</xdr:row>
                    <xdr:rowOff>171450</xdr:rowOff>
                  </from>
                  <to>
                    <xdr:col>10</xdr:col>
                    <xdr:colOff>723900</xdr:colOff>
                    <xdr:row>90</xdr:row>
                    <xdr:rowOff>190500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10</xdr:col>
                    <xdr:colOff>514350</xdr:colOff>
                    <xdr:row>90</xdr:row>
                    <xdr:rowOff>180975</xdr:rowOff>
                  </from>
                  <to>
                    <xdr:col>10</xdr:col>
                    <xdr:colOff>723900</xdr:colOff>
                    <xdr:row>91</xdr:row>
                    <xdr:rowOff>190500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10</xdr:col>
                    <xdr:colOff>514350</xdr:colOff>
                    <xdr:row>91</xdr:row>
                    <xdr:rowOff>180975</xdr:rowOff>
                  </from>
                  <to>
                    <xdr:col>10</xdr:col>
                    <xdr:colOff>723900</xdr:colOff>
                    <xdr:row>93</xdr:row>
                    <xdr:rowOff>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10</xdr:col>
                    <xdr:colOff>514350</xdr:colOff>
                    <xdr:row>92</xdr:row>
                    <xdr:rowOff>180975</xdr:rowOff>
                  </from>
                  <to>
                    <xdr:col>10</xdr:col>
                    <xdr:colOff>723900</xdr:colOff>
                    <xdr:row>94</xdr:row>
                    <xdr:rowOff>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10</xdr:col>
                    <xdr:colOff>514350</xdr:colOff>
                    <xdr:row>93</xdr:row>
                    <xdr:rowOff>180975</xdr:rowOff>
                  </from>
                  <to>
                    <xdr:col>10</xdr:col>
                    <xdr:colOff>723900</xdr:colOff>
                    <xdr:row>95</xdr:row>
                    <xdr:rowOff>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10</xdr:col>
                    <xdr:colOff>514350</xdr:colOff>
                    <xdr:row>94</xdr:row>
                    <xdr:rowOff>180975</xdr:rowOff>
                  </from>
                  <to>
                    <xdr:col>10</xdr:col>
                    <xdr:colOff>723900</xdr:colOff>
                    <xdr:row>96</xdr:row>
                    <xdr:rowOff>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10</xdr:col>
                    <xdr:colOff>514350</xdr:colOff>
                    <xdr:row>95</xdr:row>
                    <xdr:rowOff>190500</xdr:rowOff>
                  </from>
                  <to>
                    <xdr:col>10</xdr:col>
                    <xdr:colOff>723900</xdr:colOff>
                    <xdr:row>96</xdr:row>
                    <xdr:rowOff>190500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10</xdr:col>
                    <xdr:colOff>514350</xdr:colOff>
                    <xdr:row>96</xdr:row>
                    <xdr:rowOff>180975</xdr:rowOff>
                  </from>
                  <to>
                    <xdr:col>10</xdr:col>
                    <xdr:colOff>723900</xdr:colOff>
                    <xdr:row>97</xdr:row>
                    <xdr:rowOff>190500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10</xdr:col>
                    <xdr:colOff>514350</xdr:colOff>
                    <xdr:row>97</xdr:row>
                    <xdr:rowOff>171450</xdr:rowOff>
                  </from>
                  <to>
                    <xdr:col>10</xdr:col>
                    <xdr:colOff>723900</xdr:colOff>
                    <xdr:row>98</xdr:row>
                    <xdr:rowOff>180975</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10</xdr:col>
                    <xdr:colOff>514350</xdr:colOff>
                    <xdr:row>98</xdr:row>
                    <xdr:rowOff>171450</xdr:rowOff>
                  </from>
                  <to>
                    <xdr:col>10</xdr:col>
                    <xdr:colOff>723900</xdr:colOff>
                    <xdr:row>99</xdr:row>
                    <xdr:rowOff>180975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63146-9BFE-4C3A-A076-A26B76D64A6A}">
  <sheetPr>
    <pageSetUpPr fitToPage="1"/>
  </sheetPr>
  <dimension ref="B2:AA274"/>
  <sheetViews>
    <sheetView zoomScale="90" zoomScaleNormal="90" workbookViewId="0">
      <selection activeCell="G16" sqref="G16"/>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8" width="10.875" style="6" bestFit="1" customWidth="1"/>
    <col min="9"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3" x14ac:dyDescent="0.2">
      <c r="B2" s="3"/>
      <c r="C2" s="89"/>
      <c r="D2" s="89"/>
      <c r="E2" s="89"/>
      <c r="F2" s="89"/>
      <c r="G2" s="89"/>
      <c r="H2" s="89"/>
      <c r="I2" s="89"/>
      <c r="J2" s="89"/>
      <c r="K2" s="89"/>
      <c r="L2" s="89"/>
      <c r="M2" s="3"/>
    </row>
    <row r="3" spans="2:13" ht="18" x14ac:dyDescent="0.25">
      <c r="B3" s="3"/>
      <c r="C3" s="89"/>
      <c r="D3" s="90" t="s">
        <v>239</v>
      </c>
      <c r="E3" s="89"/>
      <c r="F3" s="89"/>
      <c r="G3" s="89"/>
      <c r="H3" s="89"/>
      <c r="I3" s="89"/>
      <c r="J3" s="89"/>
      <c r="K3" s="89"/>
      <c r="L3" s="89"/>
      <c r="M3" s="3"/>
    </row>
    <row r="4" spans="2:13" x14ac:dyDescent="0.2">
      <c r="B4" s="3"/>
      <c r="C4" s="89"/>
      <c r="D4" s="3"/>
      <c r="E4" s="3"/>
      <c r="F4" s="3"/>
      <c r="G4" s="3"/>
      <c r="H4" s="3"/>
      <c r="I4" s="3"/>
      <c r="J4" s="3"/>
      <c r="K4" s="3"/>
      <c r="L4" s="3"/>
      <c r="M4" s="3"/>
    </row>
    <row r="5" spans="2:13" ht="18.75" customHeight="1" x14ac:dyDescent="0.2">
      <c r="B5" s="3"/>
      <c r="C5" s="89"/>
      <c r="D5" s="103" t="s">
        <v>328</v>
      </c>
      <c r="E5" s="103"/>
      <c r="F5" s="103"/>
      <c r="G5" s="103"/>
      <c r="H5" s="103"/>
      <c r="I5" s="103"/>
      <c r="J5" s="103"/>
      <c r="K5" s="103"/>
      <c r="L5" s="103"/>
      <c r="M5" s="3"/>
    </row>
    <row r="6" spans="2:13" ht="113.25" customHeight="1" x14ac:dyDescent="0.2">
      <c r="B6" s="3"/>
      <c r="C6" s="305"/>
      <c r="D6" s="386" t="s">
        <v>330</v>
      </c>
      <c r="E6" s="386"/>
      <c r="F6" s="386"/>
      <c r="G6" s="386"/>
      <c r="H6" s="386"/>
      <c r="I6" s="386"/>
      <c r="J6" s="386"/>
      <c r="K6" s="386"/>
      <c r="L6" s="386"/>
      <c r="M6" s="3"/>
    </row>
    <row r="7" spans="2:13" x14ac:dyDescent="0.2">
      <c r="B7" s="3"/>
      <c r="C7" s="89"/>
      <c r="D7" s="89"/>
      <c r="E7" s="89"/>
      <c r="F7" s="89"/>
      <c r="G7" s="89"/>
      <c r="H7" s="89"/>
      <c r="I7" s="89"/>
      <c r="J7" s="89"/>
      <c r="K7" s="89"/>
      <c r="L7" s="89"/>
      <c r="M7" s="3"/>
    </row>
    <row r="9" spans="2:13" x14ac:dyDescent="0.2">
      <c r="B9" s="3"/>
      <c r="C9" s="3"/>
      <c r="D9" s="3"/>
      <c r="E9" s="3"/>
      <c r="F9" s="3"/>
      <c r="G9" s="3"/>
      <c r="H9" s="3"/>
      <c r="I9" s="3"/>
      <c r="J9" s="3"/>
      <c r="K9" s="3"/>
      <c r="L9" s="3"/>
      <c r="M9" s="3"/>
    </row>
    <row r="10" spans="2:13" x14ac:dyDescent="0.2">
      <c r="B10" s="3"/>
      <c r="C10" s="3"/>
      <c r="D10" s="3"/>
      <c r="E10" s="3"/>
      <c r="F10" s="3"/>
      <c r="G10" s="3"/>
      <c r="H10" s="3"/>
      <c r="I10" s="3"/>
      <c r="J10" s="3"/>
      <c r="K10" s="3"/>
      <c r="L10" s="3"/>
      <c r="M10" s="3"/>
    </row>
    <row r="11" spans="2:13" ht="18" x14ac:dyDescent="0.25">
      <c r="B11" s="3"/>
      <c r="C11" s="3"/>
      <c r="D11" s="85" t="s">
        <v>241</v>
      </c>
      <c r="E11" s="94"/>
      <c r="F11" s="95"/>
      <c r="G11" s="7"/>
      <c r="H11" s="7"/>
      <c r="I11" s="7"/>
      <c r="J11" s="7"/>
      <c r="K11" s="7"/>
      <c r="L11" s="3"/>
      <c r="M11" s="3"/>
    </row>
    <row r="12" spans="2:13" ht="14.25" x14ac:dyDescent="0.2">
      <c r="B12" s="3"/>
      <c r="C12" s="3"/>
      <c r="D12" s="3"/>
      <c r="E12" s="3"/>
      <c r="F12" s="3"/>
      <c r="G12" s="3"/>
      <c r="H12" s="7"/>
      <c r="I12" s="7"/>
      <c r="J12" s="7"/>
      <c r="K12" s="7"/>
      <c r="L12" s="3"/>
      <c r="M12" s="3"/>
    </row>
    <row r="13" spans="2:13" ht="14.25" customHeight="1" x14ac:dyDescent="0.2">
      <c r="B13" s="3"/>
      <c r="C13" s="3"/>
      <c r="D13" s="8"/>
      <c r="E13" s="13"/>
      <c r="F13" s="13"/>
      <c r="G13" s="13"/>
      <c r="H13" s="13"/>
      <c r="I13" s="13"/>
      <c r="J13" s="13"/>
      <c r="K13" s="13"/>
      <c r="L13" s="8"/>
      <c r="M13" s="3"/>
    </row>
    <row r="14" spans="2:13" x14ac:dyDescent="0.2">
      <c r="B14" s="3"/>
      <c r="C14" s="3"/>
      <c r="D14" s="8"/>
      <c r="E14" s="13" t="s">
        <v>83</v>
      </c>
      <c r="F14" s="3"/>
      <c r="G14" s="120" t="s">
        <v>80</v>
      </c>
      <c r="H14" s="13"/>
      <c r="I14" s="13"/>
      <c r="J14" s="13"/>
      <c r="K14" s="13"/>
      <c r="L14" s="8"/>
      <c r="M14" s="3"/>
    </row>
    <row r="15" spans="2:13" x14ac:dyDescent="0.2">
      <c r="B15" s="3"/>
      <c r="C15" s="3"/>
      <c r="D15" s="8"/>
      <c r="E15" s="3"/>
      <c r="F15" s="3"/>
      <c r="G15" s="3"/>
      <c r="H15" s="3"/>
      <c r="I15" s="3"/>
      <c r="J15" s="3"/>
      <c r="K15" s="13"/>
      <c r="L15" s="3"/>
      <c r="M15" s="3"/>
    </row>
    <row r="16" spans="2:13" ht="28.5" customHeight="1" x14ac:dyDescent="0.2">
      <c r="B16" s="3"/>
      <c r="C16" s="3"/>
      <c r="D16" s="11" t="s">
        <v>246</v>
      </c>
      <c r="E16" s="79" t="s">
        <v>242</v>
      </c>
      <c r="F16" s="15"/>
      <c r="G16" s="116"/>
      <c r="H16" s="15"/>
      <c r="I16" s="79"/>
      <c r="J16" s="15"/>
      <c r="K16" s="13"/>
      <c r="L16" s="15"/>
      <c r="M16" s="3"/>
    </row>
    <row r="17" spans="2:27" x14ac:dyDescent="0.2">
      <c r="B17" s="3"/>
      <c r="C17" s="3"/>
      <c r="D17" s="8"/>
      <c r="E17" s="79"/>
      <c r="F17" s="15"/>
      <c r="G17" s="15"/>
      <c r="H17" s="15"/>
      <c r="I17" s="79"/>
      <c r="J17" s="15"/>
      <c r="K17" s="13"/>
      <c r="L17" s="15"/>
      <c r="M17" s="3"/>
    </row>
    <row r="18" spans="2:27" x14ac:dyDescent="0.2">
      <c r="B18" s="3"/>
      <c r="C18" s="3"/>
      <c r="D18" s="8"/>
      <c r="E18" s="79"/>
      <c r="F18" s="15"/>
      <c r="G18" s="15"/>
      <c r="H18" s="15"/>
      <c r="I18" s="79"/>
      <c r="J18" s="15"/>
      <c r="K18" s="13"/>
      <c r="L18" s="15"/>
      <c r="M18" s="3"/>
    </row>
    <row r="19" spans="2:27" x14ac:dyDescent="0.2">
      <c r="B19" s="3"/>
      <c r="C19" s="3"/>
      <c r="D19" s="8"/>
      <c r="E19" s="80"/>
      <c r="F19" s="15"/>
      <c r="G19" s="15"/>
      <c r="H19" s="15"/>
      <c r="I19" s="80"/>
      <c r="J19" s="15"/>
      <c r="K19" s="13"/>
      <c r="L19" s="3"/>
      <c r="M19" s="3"/>
    </row>
    <row r="20" spans="2:27" x14ac:dyDescent="0.2">
      <c r="B20" s="3"/>
      <c r="C20" s="3"/>
      <c r="D20" s="78" t="s">
        <v>243</v>
      </c>
      <c r="E20" s="80"/>
      <c r="F20" s="15"/>
      <c r="G20" s="15"/>
      <c r="H20" s="15"/>
      <c r="I20" s="80"/>
      <c r="J20" s="15"/>
      <c r="K20" s="13"/>
      <c r="L20" s="3"/>
      <c r="M20" s="3"/>
    </row>
    <row r="21" spans="2:27" x14ac:dyDescent="0.2">
      <c r="B21" s="3"/>
      <c r="C21" s="3"/>
      <c r="D21" s="78"/>
      <c r="E21" s="80"/>
      <c r="F21" s="15"/>
      <c r="G21" s="15"/>
      <c r="H21" s="15"/>
      <c r="I21" s="80"/>
      <c r="J21" s="15"/>
      <c r="K21" s="13"/>
      <c r="L21" s="3"/>
      <c r="M21" s="3"/>
    </row>
    <row r="22" spans="2:27" ht="14.25" x14ac:dyDescent="0.2">
      <c r="B22" s="3"/>
      <c r="C22" s="3"/>
      <c r="D22" s="3" t="s">
        <v>467</v>
      </c>
      <c r="E22" s="80"/>
      <c r="F22" s="15"/>
      <c r="G22" s="15"/>
      <c r="H22" s="15"/>
      <c r="I22" s="80"/>
      <c r="J22" s="15"/>
      <c r="K22" s="13"/>
      <c r="L22" s="3"/>
      <c r="M22" s="3"/>
    </row>
    <row r="23" spans="2:27" x14ac:dyDescent="0.2">
      <c r="B23" s="3"/>
      <c r="C23" s="3"/>
      <c r="D23" s="78"/>
      <c r="E23" s="80"/>
      <c r="F23" s="15"/>
      <c r="G23" s="15"/>
      <c r="H23" s="15"/>
      <c r="I23" s="80"/>
      <c r="J23" s="15"/>
      <c r="K23" s="13"/>
      <c r="L23" s="3"/>
      <c r="M23" s="3"/>
    </row>
    <row r="25" spans="2:27" x14ac:dyDescent="0.2">
      <c r="B25" s="3"/>
      <c r="C25" s="3"/>
      <c r="D25" s="14"/>
      <c r="E25" s="3"/>
      <c r="F25" s="3"/>
      <c r="G25" s="3"/>
      <c r="H25" s="3"/>
      <c r="I25" s="3"/>
      <c r="J25" s="3"/>
      <c r="K25" s="3"/>
      <c r="L25" s="3"/>
      <c r="M25" s="3"/>
      <c r="N25" s="3"/>
      <c r="O25" s="3"/>
      <c r="P25" s="3"/>
      <c r="Q25" s="3"/>
      <c r="R25" s="3"/>
      <c r="S25" s="3"/>
      <c r="T25" s="3"/>
      <c r="U25" s="3"/>
      <c r="V25" s="3"/>
      <c r="W25" s="3"/>
      <c r="X25" s="3"/>
      <c r="Y25" s="3"/>
      <c r="Z25" s="3"/>
      <c r="AA25" s="3"/>
    </row>
    <row r="26" spans="2:27" ht="18" x14ac:dyDescent="0.25">
      <c r="B26" s="3"/>
      <c r="C26" s="96" t="s">
        <v>240</v>
      </c>
      <c r="D26" s="14"/>
      <c r="E26" s="3"/>
      <c r="F26" s="3"/>
      <c r="G26" s="3"/>
      <c r="H26" s="3"/>
      <c r="I26" s="3"/>
      <c r="J26" s="3"/>
      <c r="K26" s="3"/>
      <c r="L26" s="3"/>
      <c r="M26" s="3"/>
      <c r="N26" s="3"/>
      <c r="O26" s="3"/>
      <c r="P26" s="3"/>
      <c r="Q26" s="3"/>
      <c r="R26" s="3"/>
      <c r="S26" s="3"/>
      <c r="T26" s="3"/>
      <c r="U26" s="3"/>
      <c r="V26" s="3"/>
      <c r="W26" s="3"/>
      <c r="X26" s="3"/>
      <c r="Y26" s="3"/>
      <c r="Z26" s="3"/>
      <c r="AA26" s="3"/>
    </row>
    <row r="27" spans="2:27" x14ac:dyDescent="0.2">
      <c r="B27" s="3"/>
      <c r="C27" s="3"/>
      <c r="D27" s="14"/>
      <c r="E27" s="3"/>
      <c r="F27" s="3"/>
      <c r="G27" s="3"/>
      <c r="H27" s="3"/>
      <c r="I27" s="3"/>
      <c r="J27" s="3"/>
      <c r="K27" s="3"/>
      <c r="L27" s="3"/>
      <c r="M27" s="3"/>
      <c r="N27" s="3"/>
      <c r="O27" s="3"/>
      <c r="P27" s="3"/>
      <c r="Q27" s="3"/>
      <c r="R27" s="3"/>
      <c r="S27" s="3"/>
      <c r="T27" s="3"/>
      <c r="U27" s="3"/>
      <c r="V27" s="3"/>
      <c r="W27" s="3"/>
      <c r="X27" s="3"/>
      <c r="Y27" s="3"/>
      <c r="Z27" s="3"/>
      <c r="AA27" s="3"/>
    </row>
    <row r="28" spans="2:27" ht="15" x14ac:dyDescent="0.25">
      <c r="B28" s="3"/>
      <c r="C28" s="91" t="s">
        <v>115</v>
      </c>
      <c r="D28" s="3"/>
      <c r="E28" s="3"/>
      <c r="F28" s="3"/>
      <c r="G28" s="3"/>
      <c r="H28" s="3"/>
      <c r="I28" s="3"/>
      <c r="J28" s="3"/>
      <c r="K28" s="91" t="s">
        <v>119</v>
      </c>
      <c r="L28" s="3"/>
      <c r="M28" s="3"/>
      <c r="N28" s="3"/>
      <c r="O28" s="3"/>
      <c r="P28" s="3"/>
      <c r="Q28" s="3"/>
      <c r="R28" s="3"/>
      <c r="S28" s="92" t="s">
        <v>87</v>
      </c>
      <c r="T28" s="3"/>
      <c r="U28" s="3"/>
      <c r="V28" s="3"/>
      <c r="W28" s="3"/>
      <c r="X28" s="3"/>
      <c r="Y28" s="3"/>
      <c r="Z28" s="3"/>
      <c r="AA28" s="3"/>
    </row>
    <row r="29" spans="2:27" x14ac:dyDescent="0.2">
      <c r="B29" s="3"/>
      <c r="C29" s="3"/>
      <c r="D29" s="14"/>
      <c r="E29" s="3"/>
      <c r="F29" s="3"/>
      <c r="G29" s="3"/>
      <c r="H29" s="3"/>
      <c r="I29" s="3"/>
      <c r="J29" s="3"/>
      <c r="K29" s="3"/>
      <c r="L29" s="3"/>
      <c r="M29" s="3"/>
      <c r="N29" s="3"/>
      <c r="O29" s="3"/>
      <c r="P29" s="3"/>
      <c r="Q29" s="3"/>
      <c r="R29" s="3"/>
      <c r="S29" s="3"/>
      <c r="T29" s="3"/>
      <c r="U29" s="3"/>
      <c r="V29" s="3"/>
      <c r="W29" s="3"/>
      <c r="X29" s="3"/>
      <c r="Y29" s="3"/>
      <c r="Z29" s="3"/>
      <c r="AA29" s="3"/>
    </row>
    <row r="30" spans="2:2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row>
    <row r="31" spans="2:2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row>
    <row r="32" spans="2:2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row>
    <row r="33" spans="2:27" x14ac:dyDescent="0.2">
      <c r="B33" s="3"/>
      <c r="C33" s="3"/>
      <c r="D33" s="3"/>
      <c r="E33" s="3"/>
      <c r="F33" s="3"/>
      <c r="G33" s="3"/>
      <c r="H33" s="3"/>
      <c r="I33" s="3"/>
      <c r="J33" s="3"/>
      <c r="K33" s="3"/>
      <c r="L33" s="3"/>
      <c r="M33" s="3"/>
      <c r="N33" s="3"/>
      <c r="O33" s="3"/>
      <c r="P33" s="3"/>
      <c r="Q33" s="3"/>
      <c r="R33" s="3"/>
      <c r="S33" s="3"/>
      <c r="T33" s="3"/>
      <c r="U33" s="3"/>
      <c r="V33" s="3"/>
      <c r="W33" s="3"/>
      <c r="X33" s="3"/>
      <c r="Y33" s="3"/>
      <c r="Z33" s="3"/>
      <c r="AA33" s="3"/>
    </row>
    <row r="34" spans="2:27" x14ac:dyDescent="0.2">
      <c r="B34" s="3"/>
      <c r="C34" s="3"/>
      <c r="D34" s="3"/>
      <c r="E34" s="3"/>
      <c r="F34" s="3"/>
      <c r="G34" s="3"/>
      <c r="H34" s="3"/>
      <c r="I34" s="3"/>
      <c r="J34" s="3"/>
      <c r="K34" s="3"/>
      <c r="L34" s="3"/>
      <c r="M34" s="3"/>
      <c r="N34" s="3"/>
      <c r="O34" s="3"/>
      <c r="P34" s="3"/>
      <c r="Q34" s="3"/>
      <c r="R34" s="3"/>
      <c r="S34" s="3"/>
      <c r="T34" s="3"/>
      <c r="U34" s="3"/>
      <c r="V34" s="3"/>
      <c r="W34" s="3"/>
      <c r="X34" s="3"/>
      <c r="Y34" s="3"/>
      <c r="Z34" s="3"/>
      <c r="AA34" s="3"/>
    </row>
    <row r="35" spans="2:27" x14ac:dyDescent="0.2">
      <c r="B35" s="3"/>
      <c r="C35" s="3"/>
      <c r="D35" s="3"/>
      <c r="E35" s="3"/>
      <c r="F35" s="3"/>
      <c r="G35" s="3"/>
      <c r="H35" s="3"/>
      <c r="I35" s="3"/>
      <c r="J35" s="3"/>
      <c r="K35" s="3"/>
      <c r="L35" s="3"/>
      <c r="M35" s="3"/>
      <c r="N35" s="3"/>
      <c r="O35" s="3"/>
      <c r="P35" s="3"/>
      <c r="Q35" s="3"/>
      <c r="R35" s="3"/>
      <c r="S35" s="3"/>
      <c r="T35" s="3"/>
      <c r="U35" s="3"/>
      <c r="V35" s="3"/>
      <c r="W35" s="3"/>
      <c r="X35" s="3"/>
      <c r="Y35" s="3"/>
      <c r="Z35" s="3"/>
      <c r="AA35" s="3"/>
    </row>
    <row r="36" spans="2:27" x14ac:dyDescent="0.2">
      <c r="B36" s="3"/>
      <c r="C36" s="3"/>
      <c r="D36" s="3"/>
      <c r="E36" s="3"/>
      <c r="F36" s="3"/>
      <c r="G36" s="3"/>
      <c r="H36" s="3"/>
      <c r="I36" s="3"/>
      <c r="J36" s="3"/>
      <c r="K36" s="3"/>
      <c r="L36" s="3"/>
      <c r="M36" s="3"/>
      <c r="N36" s="3"/>
      <c r="O36" s="3"/>
      <c r="P36" s="3"/>
      <c r="Q36" s="3"/>
      <c r="R36" s="3"/>
      <c r="S36" s="3"/>
      <c r="T36" s="3"/>
      <c r="U36" s="3"/>
      <c r="V36" s="3"/>
      <c r="W36" s="3"/>
      <c r="X36" s="3"/>
      <c r="Y36" s="3"/>
      <c r="Z36" s="3"/>
      <c r="AA36" s="3"/>
    </row>
    <row r="37" spans="2:27" x14ac:dyDescent="0.2">
      <c r="B37" s="3"/>
      <c r="C37" s="3"/>
      <c r="D37" s="3"/>
      <c r="E37" s="3"/>
      <c r="F37" s="3"/>
      <c r="G37" s="3"/>
      <c r="H37" s="3"/>
      <c r="I37" s="3"/>
      <c r="J37" s="3"/>
      <c r="K37" s="3"/>
      <c r="L37" s="3"/>
      <c r="M37" s="3"/>
      <c r="N37" s="3"/>
      <c r="O37" s="3"/>
      <c r="P37" s="3"/>
      <c r="Q37" s="3"/>
      <c r="R37" s="3"/>
      <c r="S37" s="3"/>
      <c r="T37" s="3"/>
      <c r="U37" s="3"/>
      <c r="V37" s="3"/>
      <c r="W37" s="3"/>
      <c r="X37" s="3"/>
      <c r="Y37" s="3"/>
      <c r="Z37" s="3"/>
      <c r="AA37" s="3"/>
    </row>
    <row r="38" spans="2:27" x14ac:dyDescent="0.2">
      <c r="B38" s="3"/>
      <c r="C38" s="3"/>
      <c r="D38" s="3"/>
      <c r="E38" s="3"/>
      <c r="F38" s="3"/>
      <c r="G38" s="3"/>
      <c r="H38" s="3"/>
      <c r="I38" s="3"/>
      <c r="J38" s="3"/>
      <c r="K38" s="3"/>
      <c r="L38" s="3"/>
      <c r="M38" s="3"/>
      <c r="N38" s="3"/>
      <c r="O38" s="3"/>
      <c r="P38" s="3"/>
      <c r="Q38" s="3"/>
      <c r="R38" s="3"/>
      <c r="S38" s="3"/>
      <c r="T38" s="3"/>
      <c r="U38" s="3"/>
      <c r="V38" s="3"/>
      <c r="W38" s="3"/>
      <c r="X38" s="3"/>
      <c r="Y38" s="3"/>
      <c r="Z38" s="3"/>
      <c r="AA38" s="3"/>
    </row>
    <row r="39" spans="2:27" x14ac:dyDescent="0.2">
      <c r="B39" s="3"/>
      <c r="C39" s="3"/>
      <c r="D39" s="3"/>
      <c r="E39" s="3"/>
      <c r="F39" s="3"/>
      <c r="G39" s="3"/>
      <c r="H39" s="3"/>
      <c r="I39" s="3"/>
      <c r="J39" s="3"/>
      <c r="K39" s="3"/>
      <c r="L39" s="3"/>
      <c r="M39" s="3"/>
      <c r="N39" s="3"/>
      <c r="O39" s="3"/>
      <c r="P39" s="3"/>
      <c r="Q39" s="3"/>
      <c r="R39" s="3"/>
      <c r="S39" s="3"/>
      <c r="T39" s="3"/>
      <c r="U39" s="3"/>
      <c r="V39" s="3"/>
      <c r="W39" s="3"/>
      <c r="X39" s="3"/>
      <c r="Y39" s="3"/>
      <c r="Z39" s="3"/>
      <c r="AA39" s="3"/>
    </row>
    <row r="40" spans="2:27" x14ac:dyDescent="0.2">
      <c r="B40" s="3"/>
      <c r="C40" s="3"/>
      <c r="D40" s="3"/>
      <c r="E40" s="3"/>
      <c r="F40" s="3"/>
      <c r="G40" s="3"/>
      <c r="H40" s="3"/>
      <c r="I40" s="3"/>
      <c r="J40" s="3"/>
      <c r="K40" s="3"/>
      <c r="L40" s="3"/>
      <c r="M40" s="3"/>
      <c r="N40" s="3"/>
      <c r="O40" s="3"/>
      <c r="P40" s="3"/>
      <c r="Q40" s="3"/>
      <c r="R40" s="3"/>
      <c r="S40" s="3"/>
      <c r="T40" s="3"/>
      <c r="U40" s="3"/>
      <c r="V40" s="3"/>
      <c r="W40" s="3"/>
      <c r="X40" s="3"/>
      <c r="Y40" s="3"/>
      <c r="Z40" s="3"/>
      <c r="AA40" s="3"/>
    </row>
    <row r="41" spans="2:27" x14ac:dyDescent="0.2">
      <c r="B41" s="3"/>
      <c r="C41" s="3"/>
      <c r="D41" s="3"/>
      <c r="E41" s="3"/>
      <c r="F41" s="3"/>
      <c r="G41" s="3"/>
      <c r="H41" s="3"/>
      <c r="I41" s="3"/>
      <c r="J41" s="3"/>
      <c r="K41" s="3"/>
      <c r="L41" s="3"/>
      <c r="M41" s="3"/>
      <c r="N41" s="3"/>
      <c r="O41" s="3"/>
      <c r="P41" s="3"/>
      <c r="Q41" s="3"/>
      <c r="R41" s="3"/>
      <c r="S41" s="3"/>
      <c r="T41" s="3"/>
      <c r="U41" s="3"/>
      <c r="V41" s="3"/>
      <c r="W41" s="3"/>
      <c r="X41" s="3"/>
      <c r="Y41" s="3"/>
      <c r="Z41" s="3"/>
      <c r="AA41" s="3"/>
    </row>
    <row r="42" spans="2:27" x14ac:dyDescent="0.2">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x14ac:dyDescent="0.2">
      <c r="B43" s="3"/>
      <c r="C43" s="3"/>
      <c r="D43" s="3"/>
      <c r="E43" s="3"/>
      <c r="F43" s="3"/>
      <c r="G43" s="3"/>
      <c r="H43" s="3"/>
      <c r="I43" s="3"/>
      <c r="J43" s="3"/>
      <c r="K43" s="3"/>
      <c r="L43" s="3"/>
      <c r="M43" s="3"/>
      <c r="N43" s="3"/>
      <c r="O43" s="3"/>
      <c r="P43" s="3"/>
      <c r="Q43" s="3"/>
      <c r="R43" s="3"/>
      <c r="S43" s="3"/>
      <c r="T43" s="3"/>
      <c r="U43" s="3"/>
      <c r="V43" s="3"/>
      <c r="W43" s="3"/>
      <c r="X43" s="3"/>
      <c r="Y43" s="3"/>
      <c r="Z43" s="3"/>
      <c r="AA43" s="3"/>
    </row>
    <row r="44" spans="2:27" x14ac:dyDescent="0.2">
      <c r="B44" s="3"/>
      <c r="C44" s="3"/>
      <c r="D44" s="3"/>
      <c r="E44" s="3"/>
      <c r="F44" s="3"/>
      <c r="G44" s="3"/>
      <c r="H44" s="3"/>
      <c r="I44" s="3"/>
      <c r="J44" s="3"/>
      <c r="K44" s="3"/>
      <c r="L44" s="3"/>
      <c r="M44" s="3"/>
      <c r="N44" s="3"/>
      <c r="O44" s="3"/>
      <c r="P44" s="3"/>
      <c r="Q44" s="3"/>
      <c r="R44" s="3"/>
      <c r="S44" s="3"/>
      <c r="T44" s="3"/>
      <c r="U44" s="3"/>
      <c r="V44" s="3"/>
      <c r="W44" s="3"/>
      <c r="X44" s="3"/>
      <c r="Y44" s="3"/>
      <c r="Z44" s="3"/>
      <c r="AA44" s="3"/>
    </row>
    <row r="45" spans="2:27" x14ac:dyDescent="0.2">
      <c r="B45" s="3"/>
      <c r="C45" s="3"/>
      <c r="D45" s="3"/>
      <c r="E45" s="3"/>
      <c r="F45" s="3"/>
      <c r="G45" s="3"/>
      <c r="H45" s="3"/>
      <c r="I45" s="3"/>
      <c r="J45" s="3"/>
      <c r="K45" s="3"/>
      <c r="L45" s="3"/>
      <c r="M45" s="3"/>
      <c r="N45" s="3"/>
      <c r="O45" s="3"/>
      <c r="P45" s="3"/>
      <c r="Q45" s="3"/>
      <c r="R45" s="3"/>
      <c r="S45" s="3"/>
      <c r="T45" s="3"/>
      <c r="U45" s="3"/>
      <c r="V45" s="3"/>
      <c r="W45" s="3"/>
      <c r="X45" s="3"/>
      <c r="Y45" s="3"/>
      <c r="Z45" s="3"/>
      <c r="AA45" s="3"/>
    </row>
    <row r="46" spans="2:27" x14ac:dyDescent="0.2">
      <c r="B46" s="3"/>
      <c r="C46" s="3"/>
      <c r="D46" s="3"/>
      <c r="E46" s="3"/>
      <c r="F46" s="3"/>
      <c r="G46" s="3"/>
      <c r="H46" s="3"/>
      <c r="I46" s="3"/>
      <c r="J46" s="3"/>
      <c r="K46" s="3"/>
      <c r="L46" s="3"/>
      <c r="M46" s="3"/>
      <c r="N46" s="3"/>
      <c r="O46" s="3"/>
      <c r="P46" s="3"/>
      <c r="Q46" s="3"/>
      <c r="R46" s="3"/>
      <c r="S46" s="3"/>
      <c r="T46" s="3"/>
      <c r="U46" s="3"/>
      <c r="V46" s="3"/>
      <c r="W46" s="3"/>
      <c r="X46" s="3"/>
      <c r="Y46" s="3"/>
      <c r="Z46" s="3"/>
      <c r="AA46" s="3"/>
    </row>
    <row r="47" spans="2:27" x14ac:dyDescent="0.2">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3"/>
      <c r="E48" s="3"/>
      <c r="F48" s="3"/>
      <c r="G48" s="3"/>
      <c r="H48" s="3"/>
      <c r="I48" s="3"/>
      <c r="J48" s="3"/>
      <c r="K48" s="3"/>
      <c r="L48" s="3"/>
      <c r="M48" s="3"/>
      <c r="N48" s="3"/>
      <c r="O48" s="3"/>
      <c r="P48" s="3"/>
      <c r="Q48" s="3"/>
      <c r="R48" s="3"/>
      <c r="S48" s="3"/>
      <c r="T48" s="3"/>
      <c r="U48" s="3"/>
      <c r="V48" s="3"/>
      <c r="W48" s="3"/>
      <c r="X48" s="3"/>
      <c r="Y48" s="3"/>
      <c r="Z48" s="3"/>
      <c r="AA48" s="3"/>
    </row>
    <row r="49" spans="2:27" x14ac:dyDescent="0.2">
      <c r="B49" s="3"/>
      <c r="C49" s="3"/>
      <c r="D49" s="3"/>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ht="15" customHeight="1" x14ac:dyDescent="0.25">
      <c r="B60" s="3"/>
      <c r="C60" s="96"/>
      <c r="D60" s="62"/>
      <c r="E60" s="3"/>
      <c r="F60" s="3"/>
      <c r="G60" s="3"/>
      <c r="H60" s="3"/>
      <c r="I60" s="3"/>
      <c r="J60" s="3"/>
      <c r="K60" s="3"/>
      <c r="L60" s="3"/>
      <c r="M60" s="3"/>
      <c r="N60" s="3"/>
      <c r="O60" s="3"/>
      <c r="P60" s="3"/>
      <c r="Q60" s="3"/>
      <c r="R60" s="3"/>
      <c r="S60" s="3"/>
      <c r="T60" s="3"/>
      <c r="U60" s="3"/>
      <c r="V60" s="3"/>
      <c r="W60" s="3"/>
      <c r="X60" s="3"/>
      <c r="Y60" s="84"/>
      <c r="Z60" s="84"/>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83"/>
      <c r="Z61" s="8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83"/>
      <c r="Z62" s="83"/>
      <c r="AA62" s="3"/>
    </row>
    <row r="63" spans="2:27" ht="15" customHeight="1" x14ac:dyDescent="0.25">
      <c r="B63" s="3"/>
      <c r="C63" s="3"/>
      <c r="D63" s="23" t="s">
        <v>116</v>
      </c>
      <c r="E63" s="24"/>
      <c r="F63" s="24"/>
      <c r="G63" s="24"/>
      <c r="H63" s="24"/>
      <c r="I63" s="3"/>
      <c r="J63" s="3"/>
      <c r="K63" s="3"/>
      <c r="L63" s="23" t="s">
        <v>195</v>
      </c>
      <c r="M63" s="24"/>
      <c r="N63" s="24"/>
      <c r="O63" s="24"/>
      <c r="P63" s="24"/>
      <c r="Q63" s="3"/>
      <c r="R63" s="3"/>
      <c r="S63" s="3"/>
      <c r="T63" s="23" t="s">
        <v>200</v>
      </c>
      <c r="U63" s="24"/>
      <c r="V63" s="24"/>
      <c r="W63" s="24"/>
      <c r="X63" s="3"/>
      <c r="Y63" s="83"/>
      <c r="Z63" s="83"/>
      <c r="AA63" s="3"/>
    </row>
    <row r="64" spans="2:27" ht="15" customHeight="1" x14ac:dyDescent="0.25">
      <c r="B64" s="3"/>
      <c r="C64" s="387" t="s">
        <v>147</v>
      </c>
      <c r="D64" s="46"/>
      <c r="E64" s="46">
        <v>2020</v>
      </c>
      <c r="F64" s="47">
        <v>2025</v>
      </c>
      <c r="G64" s="47">
        <v>2030</v>
      </c>
      <c r="H64" s="34"/>
      <c r="I64" s="3"/>
      <c r="J64" s="3"/>
      <c r="K64" s="3"/>
      <c r="L64" s="34"/>
      <c r="M64" s="46">
        <v>2020</v>
      </c>
      <c r="N64" s="47">
        <v>2025</v>
      </c>
      <c r="O64" s="47">
        <v>2030</v>
      </c>
      <c r="P64" s="34"/>
      <c r="Q64" s="3"/>
      <c r="R64" s="3"/>
      <c r="S64" s="387" t="s">
        <v>147</v>
      </c>
      <c r="T64" s="34"/>
      <c r="U64" s="47">
        <v>2020</v>
      </c>
      <c r="V64" s="47">
        <v>2025</v>
      </c>
      <c r="W64" s="47">
        <v>2030</v>
      </c>
      <c r="X64" s="3"/>
      <c r="Y64" s="83"/>
      <c r="Z64" s="83"/>
      <c r="AA64" s="63"/>
    </row>
    <row r="65" spans="2:27" x14ac:dyDescent="0.2">
      <c r="B65" s="3"/>
      <c r="C65" s="387"/>
      <c r="D65" s="24"/>
      <c r="E65" s="48" t="s">
        <v>92</v>
      </c>
      <c r="F65" s="49"/>
      <c r="G65" s="49"/>
      <c r="H65" s="24"/>
      <c r="I65" s="3"/>
      <c r="J65" s="3"/>
      <c r="K65" s="3"/>
      <c r="L65" s="24"/>
      <c r="M65" s="48" t="s">
        <v>92</v>
      </c>
      <c r="N65" s="49"/>
      <c r="O65" s="49"/>
      <c r="P65" s="24"/>
      <c r="Q65" s="3"/>
      <c r="R65" s="3"/>
      <c r="S65" s="387"/>
      <c r="T65" s="24"/>
      <c r="U65" s="50" t="s">
        <v>92</v>
      </c>
      <c r="V65" s="50"/>
      <c r="W65" s="59"/>
      <c r="X65" s="3"/>
      <c r="Y65" s="83"/>
      <c r="Z65" s="83"/>
      <c r="AA65" s="63"/>
    </row>
    <row r="66" spans="2:27" ht="15.75" x14ac:dyDescent="0.3">
      <c r="B66" s="3"/>
      <c r="C66" s="3"/>
      <c r="D66" s="29" t="s">
        <v>32</v>
      </c>
      <c r="E66" s="32">
        <f>'Referenz Pflasterwerk'!$U$16+'Referenz Pflasterwerk'!U21</f>
        <v>8.2422000000000004</v>
      </c>
      <c r="F66" s="32">
        <f>J142+J147</f>
        <v>8.2422000000000004</v>
      </c>
      <c r="G66" s="32">
        <f>J215+J220</f>
        <v>8.2422000000000004</v>
      </c>
      <c r="H66" s="25" t="s">
        <v>164</v>
      </c>
      <c r="I66" s="3"/>
      <c r="J66" s="3"/>
      <c r="K66" s="3"/>
      <c r="L66" s="29" t="s">
        <v>118</v>
      </c>
      <c r="M66" s="26">
        <f>'Referenz Pflasterwerk'!Q74</f>
        <v>106.60088015999999</v>
      </c>
      <c r="N66" s="26">
        <f>F199</f>
        <v>106.60088015999999</v>
      </c>
      <c r="O66" s="26">
        <f>F272</f>
        <v>106.60088015999999</v>
      </c>
      <c r="P66" s="25" t="s">
        <v>164</v>
      </c>
      <c r="Q66" s="3"/>
      <c r="R66" s="3"/>
      <c r="S66" s="3"/>
      <c r="T66" s="57" t="s">
        <v>160</v>
      </c>
      <c r="U66" s="58">
        <f>SUM(U67:U73)</f>
        <v>172669</v>
      </c>
      <c r="V66" s="58">
        <f t="shared" ref="V66:W66" si="0">SUM(V67:V73)</f>
        <v>174544</v>
      </c>
      <c r="W66" s="58">
        <f t="shared" si="0"/>
        <v>174544</v>
      </c>
      <c r="X66" s="3"/>
      <c r="Y66" s="115"/>
      <c r="Z66" s="115"/>
      <c r="AA66" s="63"/>
    </row>
    <row r="67" spans="2:27" ht="15.75" x14ac:dyDescent="0.3">
      <c r="B67" s="3"/>
      <c r="C67" s="3"/>
      <c r="D67" s="8" t="s">
        <v>33</v>
      </c>
      <c r="E67" s="10">
        <f>'Referenz Pflasterwerk'!$U$17+'Referenz Pflasterwerk'!U22</f>
        <v>2.6676000000000002</v>
      </c>
      <c r="F67" s="10">
        <f>J143+J148</f>
        <v>2.6676000000000002</v>
      </c>
      <c r="G67" s="10">
        <f>J216+J221</f>
        <v>2.6676000000000002</v>
      </c>
      <c r="H67" s="3" t="s">
        <v>164</v>
      </c>
      <c r="I67" s="3"/>
      <c r="J67" s="3"/>
      <c r="K67" s="3"/>
      <c r="L67" s="8" t="s">
        <v>28</v>
      </c>
      <c r="M67" s="9">
        <f>'Referenz Pflasterwerk'!R74</f>
        <v>286.5</v>
      </c>
      <c r="N67" s="9">
        <f>G199</f>
        <v>0</v>
      </c>
      <c r="O67" s="9">
        <f>G272</f>
        <v>0</v>
      </c>
      <c r="P67" s="3" t="s">
        <v>164</v>
      </c>
      <c r="Q67" s="3"/>
      <c r="R67" s="3"/>
      <c r="S67" s="3"/>
      <c r="T67" s="31" t="s">
        <v>32</v>
      </c>
      <c r="U67" s="52">
        <f>'Referenz Pflasterwerk'!AB16</f>
        <v>2745</v>
      </c>
      <c r="V67" s="52">
        <f>S142+S147</f>
        <v>2745</v>
      </c>
      <c r="W67" s="52">
        <f>S215+S220</f>
        <v>2745</v>
      </c>
      <c r="X67" s="3"/>
      <c r="Y67" s="115"/>
      <c r="Z67" s="115"/>
      <c r="AA67" s="63"/>
    </row>
    <row r="68" spans="2:27" ht="15.75" x14ac:dyDescent="0.3">
      <c r="B68" s="3"/>
      <c r="C68" s="3"/>
      <c r="D68" s="29" t="s">
        <v>34</v>
      </c>
      <c r="E68" s="32">
        <f>'Referenz Pflasterwerk'!$U$18+'Referenz Pflasterwerk'!R24</f>
        <v>286.5</v>
      </c>
      <c r="F68" s="32">
        <f>J144+J150</f>
        <v>0</v>
      </c>
      <c r="G68" s="32">
        <f>J217+J223</f>
        <v>0</v>
      </c>
      <c r="H68" s="25" t="s">
        <v>164</v>
      </c>
      <c r="I68" s="3"/>
      <c r="J68" s="3"/>
      <c r="K68" s="3"/>
      <c r="L68" s="29" t="s">
        <v>29</v>
      </c>
      <c r="M68" s="26">
        <f>'Referenz Pflasterwerk'!S74</f>
        <v>10520.622960446901</v>
      </c>
      <c r="N68" s="26">
        <f>H199</f>
        <v>10509.215460446898</v>
      </c>
      <c r="O68" s="26">
        <f>H272</f>
        <v>10509.215460446898</v>
      </c>
      <c r="P68" s="25" t="s">
        <v>164</v>
      </c>
      <c r="Q68" s="3"/>
      <c r="R68" s="3"/>
      <c r="S68" s="3"/>
      <c r="T68" s="31" t="s">
        <v>33</v>
      </c>
      <c r="U68" s="52">
        <f>'Referenz Pflasterwerk'!AB17</f>
        <v>460</v>
      </c>
      <c r="V68" s="52">
        <f>S143+S148</f>
        <v>460</v>
      </c>
      <c r="W68" s="52">
        <f>S216+S221</f>
        <v>460</v>
      </c>
      <c r="X68" s="3"/>
      <c r="Y68" s="115"/>
      <c r="Z68" s="115"/>
      <c r="AA68" s="63"/>
    </row>
    <row r="69" spans="2:27" ht="16.5" thickBot="1" x14ac:dyDescent="0.35">
      <c r="B69" s="3"/>
      <c r="C69" s="3"/>
      <c r="D69" s="8" t="s">
        <v>129</v>
      </c>
      <c r="E69" s="10">
        <f>'Referenz Pflasterwerk'!$U$19</f>
        <v>0</v>
      </c>
      <c r="F69" s="10">
        <f>J145</f>
        <v>0</v>
      </c>
      <c r="G69" s="10">
        <f>J218</f>
        <v>0</v>
      </c>
      <c r="H69" s="3" t="s">
        <v>164</v>
      </c>
      <c r="I69" s="3"/>
      <c r="J69" s="3"/>
      <c r="K69" s="3"/>
      <c r="L69" s="27" t="s">
        <v>70</v>
      </c>
      <c r="M69" s="28">
        <f>SUM(M66:M68)</f>
        <v>10913.723840606901</v>
      </c>
      <c r="N69" s="28">
        <f t="shared" ref="N69:O69" si="1">SUM(N66:N68)</f>
        <v>10615.816340606898</v>
      </c>
      <c r="O69" s="28">
        <f t="shared" si="1"/>
        <v>10615.816340606898</v>
      </c>
      <c r="P69" s="27" t="s">
        <v>165</v>
      </c>
      <c r="Q69" s="3"/>
      <c r="R69" s="3"/>
      <c r="S69" s="3"/>
      <c r="T69" s="31" t="s">
        <v>34</v>
      </c>
      <c r="U69" s="52">
        <f>'Referenz Pflasterwerk'!AB18</f>
        <v>129000</v>
      </c>
      <c r="V69" s="52">
        <f>S144+S150</f>
        <v>130875</v>
      </c>
      <c r="W69" s="52">
        <f>S217+S223</f>
        <v>130875</v>
      </c>
      <c r="X69" s="3"/>
      <c r="Y69" s="115"/>
      <c r="Z69" s="115"/>
      <c r="AA69" s="63"/>
    </row>
    <row r="70" spans="2:27" ht="16.5" thickTop="1" x14ac:dyDescent="0.3">
      <c r="B70" s="3"/>
      <c r="C70" s="3"/>
      <c r="D70" s="29" t="s">
        <v>125</v>
      </c>
      <c r="E70" s="32">
        <f>'Referenz Pflasterwerk'!$U$25</f>
        <v>0</v>
      </c>
      <c r="F70" s="32">
        <f>J151</f>
        <v>0</v>
      </c>
      <c r="G70" s="32">
        <f>J224</f>
        <v>0</v>
      </c>
      <c r="H70" s="25" t="s">
        <v>164</v>
      </c>
      <c r="I70" s="3"/>
      <c r="J70" s="3"/>
      <c r="K70" s="3"/>
      <c r="L70" s="3"/>
      <c r="M70" s="3"/>
      <c r="N70" s="3"/>
      <c r="O70" s="3"/>
      <c r="P70" s="3"/>
      <c r="Q70" s="3"/>
      <c r="R70" s="3"/>
      <c r="S70" s="3"/>
      <c r="T70" s="31" t="s">
        <v>125</v>
      </c>
      <c r="U70" s="52">
        <f>'Referenz Pflasterwerk'!AB19</f>
        <v>0</v>
      </c>
      <c r="V70" s="52">
        <f>S151</f>
        <v>0</v>
      </c>
      <c r="W70" s="52">
        <f>S224</f>
        <v>0</v>
      </c>
      <c r="X70" s="3"/>
      <c r="Y70" s="115"/>
      <c r="Z70" s="115"/>
      <c r="AA70" s="63"/>
    </row>
    <row r="71" spans="2:27" ht="15.75" x14ac:dyDescent="0.3">
      <c r="B71" s="3"/>
      <c r="C71" s="3"/>
      <c r="D71" s="8" t="s">
        <v>151</v>
      </c>
      <c r="E71" s="10">
        <f>'Referenz Pflasterwerk'!$U$26</f>
        <v>0</v>
      </c>
      <c r="F71" s="10">
        <f>J152</f>
        <v>0</v>
      </c>
      <c r="G71" s="10">
        <f>J225</f>
        <v>0</v>
      </c>
      <c r="H71" s="3" t="s">
        <v>164</v>
      </c>
      <c r="I71" s="3"/>
      <c r="J71" s="3"/>
      <c r="K71" s="3"/>
      <c r="L71" s="3"/>
      <c r="M71" s="3"/>
      <c r="N71" s="3"/>
      <c r="O71" s="3"/>
      <c r="P71" s="3"/>
      <c r="Q71" s="3"/>
      <c r="R71" s="3"/>
      <c r="S71" s="3"/>
      <c r="T71" s="31" t="s">
        <v>126</v>
      </c>
      <c r="U71" s="52">
        <f>'Referenz Pflasterwerk'!AB20</f>
        <v>0</v>
      </c>
      <c r="V71" s="52">
        <f>S145</f>
        <v>0</v>
      </c>
      <c r="W71" s="52">
        <f>S218</f>
        <v>0</v>
      </c>
      <c r="X71" s="3"/>
      <c r="Y71" s="115"/>
      <c r="Z71" s="115"/>
      <c r="AA71" s="63"/>
    </row>
    <row r="72" spans="2:27" ht="15.75" x14ac:dyDescent="0.3">
      <c r="B72" s="3"/>
      <c r="C72" s="3"/>
      <c r="D72" s="29" t="s">
        <v>35</v>
      </c>
      <c r="E72" s="32">
        <f>'Referenz Pflasterwerk'!$U$28+'Referenz Pflasterwerk'!$U$29</f>
        <v>95.691080159999984</v>
      </c>
      <c r="F72" s="32">
        <f>J154+J155</f>
        <v>95.691080159999984</v>
      </c>
      <c r="G72" s="32">
        <f>J227+J228</f>
        <v>95.691080159999984</v>
      </c>
      <c r="H72" s="25" t="s">
        <v>164</v>
      </c>
      <c r="I72" s="3"/>
      <c r="J72" s="3"/>
      <c r="K72" s="3"/>
      <c r="L72" s="23" t="s">
        <v>193</v>
      </c>
      <c r="M72" s="24"/>
      <c r="N72" s="24"/>
      <c r="O72" s="24"/>
      <c r="P72" s="24"/>
      <c r="Q72" s="3"/>
      <c r="R72" s="3"/>
      <c r="S72" s="3"/>
      <c r="T72" s="31" t="s">
        <v>463</v>
      </c>
      <c r="U72" s="52">
        <f>'Referenz Pflasterwerk'!AB21</f>
        <v>0</v>
      </c>
      <c r="V72" s="52">
        <f>S152</f>
        <v>0</v>
      </c>
      <c r="W72" s="52">
        <f>S225</f>
        <v>0</v>
      </c>
      <c r="X72" s="3"/>
      <c r="Y72" s="115"/>
      <c r="Z72" s="115"/>
      <c r="AA72" s="63"/>
    </row>
    <row r="73" spans="2:27" ht="15.75" thickBot="1" x14ac:dyDescent="0.3">
      <c r="B73" s="3"/>
      <c r="C73" s="3"/>
      <c r="D73" s="27" t="s">
        <v>70</v>
      </c>
      <c r="E73" s="33">
        <f>SUM(E66:E72)</f>
        <v>393.10088015999997</v>
      </c>
      <c r="F73" s="33">
        <f>SUM(F66:F72)</f>
        <v>106.60088015999999</v>
      </c>
      <c r="G73" s="33">
        <f>SUM(G66:G72)</f>
        <v>106.60088015999999</v>
      </c>
      <c r="H73" s="27" t="s">
        <v>165</v>
      </c>
      <c r="I73" s="3"/>
      <c r="J73" s="3"/>
      <c r="K73" s="387" t="s">
        <v>147</v>
      </c>
      <c r="L73" s="34"/>
      <c r="M73" s="46">
        <v>2020</v>
      </c>
      <c r="N73" s="47">
        <v>2025</v>
      </c>
      <c r="O73" s="47">
        <v>2030</v>
      </c>
      <c r="P73" s="34"/>
      <c r="Q73" s="3"/>
      <c r="R73" s="3"/>
      <c r="S73" s="3"/>
      <c r="T73" s="51" t="s">
        <v>35</v>
      </c>
      <c r="U73" s="53">
        <f>'Referenz Pflasterwerk'!AB22</f>
        <v>40464.000000000007</v>
      </c>
      <c r="V73" s="54">
        <f>S154+S155</f>
        <v>40464</v>
      </c>
      <c r="W73" s="54">
        <f>S227+S228</f>
        <v>40464</v>
      </c>
      <c r="X73" s="3"/>
      <c r="Y73" s="115"/>
      <c r="Z73" s="115"/>
      <c r="AA73" s="63"/>
    </row>
    <row r="74" spans="2:27" ht="13.5" thickTop="1" x14ac:dyDescent="0.2">
      <c r="B74" s="3"/>
      <c r="C74" s="3"/>
      <c r="D74" s="3"/>
      <c r="E74" s="3"/>
      <c r="F74" s="3"/>
      <c r="G74" s="3"/>
      <c r="H74" s="3"/>
      <c r="I74" s="3"/>
      <c r="J74" s="3"/>
      <c r="K74" s="387"/>
      <c r="L74" s="24"/>
      <c r="M74" s="48" t="s">
        <v>92</v>
      </c>
      <c r="N74" s="49"/>
      <c r="O74" s="49"/>
      <c r="P74" s="24"/>
      <c r="Q74" s="3"/>
      <c r="R74" s="3"/>
      <c r="S74" s="3"/>
      <c r="T74" s="8" t="s">
        <v>31</v>
      </c>
      <c r="U74" s="55">
        <v>0</v>
      </c>
      <c r="V74" s="55">
        <f>S158</f>
        <v>0</v>
      </c>
      <c r="W74" s="55">
        <f>S231</f>
        <v>0</v>
      </c>
      <c r="X74" s="3"/>
      <c r="Y74" s="115"/>
      <c r="Z74" s="115"/>
      <c r="AA74" s="63"/>
    </row>
    <row r="75" spans="2:27" ht="15.75" x14ac:dyDescent="0.3">
      <c r="B75" s="3"/>
      <c r="C75" s="3"/>
      <c r="D75" s="3"/>
      <c r="E75" s="3"/>
      <c r="F75" s="3"/>
      <c r="G75" s="3"/>
      <c r="H75" s="3"/>
      <c r="I75" s="3"/>
      <c r="J75" s="3"/>
      <c r="K75" s="3"/>
      <c r="L75" s="29" t="str">
        <f>C140</f>
        <v>Energieträger gesamt</v>
      </c>
      <c r="M75" s="26">
        <f>SUM('Referenz Pflasterwerk'!S16:S29)</f>
        <v>60.712972560000004</v>
      </c>
      <c r="N75" s="26">
        <f>H140</f>
        <v>49.305472560000005</v>
      </c>
      <c r="O75" s="26">
        <f>H213</f>
        <v>49.305472560000005</v>
      </c>
      <c r="P75" s="25" t="s">
        <v>164</v>
      </c>
      <c r="Q75" s="3"/>
      <c r="R75" s="3"/>
      <c r="S75" s="3"/>
      <c r="T75" s="8" t="s">
        <v>155</v>
      </c>
      <c r="U75" s="55">
        <v>0</v>
      </c>
      <c r="V75" s="55">
        <f>S159</f>
        <v>0</v>
      </c>
      <c r="W75" s="55">
        <f>S232</f>
        <v>0</v>
      </c>
      <c r="X75" s="3"/>
      <c r="Y75" s="115"/>
      <c r="Z75" s="115"/>
      <c r="AA75" s="63"/>
    </row>
    <row r="76" spans="2:27" ht="15.75" x14ac:dyDescent="0.3">
      <c r="B76" s="3"/>
      <c r="C76" s="3"/>
      <c r="D76" s="3"/>
      <c r="E76" s="3"/>
      <c r="F76" s="3"/>
      <c r="G76" s="3"/>
      <c r="H76" s="3"/>
      <c r="I76" s="3"/>
      <c r="J76" s="3"/>
      <c r="K76" s="3"/>
      <c r="L76" s="8" t="str">
        <f>C156</f>
        <v>Transport gesamt</v>
      </c>
      <c r="M76" s="9">
        <f>'Referenz Pflasterwerk'!S32+'Referenz Pflasterwerk'!S33</f>
        <v>578.62626120000004</v>
      </c>
      <c r="N76" s="9">
        <f>H156</f>
        <v>578.62626120000004</v>
      </c>
      <c r="O76" s="9">
        <f>H229</f>
        <v>578.62626120000004</v>
      </c>
      <c r="P76" s="3" t="s">
        <v>164</v>
      </c>
      <c r="Q76" s="3"/>
      <c r="R76" s="3"/>
      <c r="S76" s="3"/>
      <c r="T76" s="59" t="s">
        <v>162</v>
      </c>
      <c r="U76" s="61">
        <v>0</v>
      </c>
      <c r="V76" s="61">
        <f>S160</f>
        <v>0</v>
      </c>
      <c r="W76" s="61">
        <f>S233</f>
        <v>0</v>
      </c>
      <c r="X76" s="3"/>
      <c r="Y76" s="115"/>
      <c r="Z76" s="115"/>
      <c r="AA76" s="63"/>
    </row>
    <row r="77" spans="2:27" ht="15.75" x14ac:dyDescent="0.3">
      <c r="B77" s="3"/>
      <c r="C77" s="3"/>
      <c r="D77" s="3"/>
      <c r="E77" s="3"/>
      <c r="F77" s="3"/>
      <c r="G77" s="3"/>
      <c r="H77" s="3"/>
      <c r="I77" s="3"/>
      <c r="J77" s="3"/>
      <c r="K77" s="3"/>
      <c r="L77" s="29" t="str">
        <f>C160</f>
        <v>Zement</v>
      </c>
      <c r="M77" s="26">
        <f>'Referenz Pflasterwerk'!S35</f>
        <v>7683.24</v>
      </c>
      <c r="N77" s="26">
        <f>H160</f>
        <v>7683.24</v>
      </c>
      <c r="O77" s="26">
        <f>H233</f>
        <v>7683.24</v>
      </c>
      <c r="P77" s="25" t="s">
        <v>164</v>
      </c>
      <c r="Q77" s="3"/>
      <c r="R77" s="3"/>
      <c r="S77" s="3"/>
      <c r="T77" s="57" t="s">
        <v>156</v>
      </c>
      <c r="U77" s="58">
        <f>SUM(U78:U80)</f>
        <v>272843.09601517254</v>
      </c>
      <c r="V77" s="58">
        <f t="shared" ref="V77:W77" si="2">SUM(V78:V80)</f>
        <v>477711.73532731039</v>
      </c>
      <c r="W77" s="58">
        <f t="shared" si="2"/>
        <v>849265.30724855175</v>
      </c>
      <c r="X77" s="3"/>
      <c r="Y77" s="115"/>
      <c r="Z77" s="115"/>
      <c r="AA77" s="63"/>
    </row>
    <row r="78" spans="2:27" ht="15.75" x14ac:dyDescent="0.3">
      <c r="B78" s="3"/>
      <c r="C78" s="3"/>
      <c r="D78" s="3"/>
      <c r="E78" s="3"/>
      <c r="F78" s="3"/>
      <c r="G78" s="3"/>
      <c r="H78" s="3"/>
      <c r="I78" s="3"/>
      <c r="J78" s="3"/>
      <c r="K78" s="3"/>
      <c r="L78" s="8" t="str">
        <f>C166</f>
        <v>Gesteinskörnungen (Zuschlagsstoffe)</v>
      </c>
      <c r="M78" s="9">
        <f>'Referenz Pflasterwerk'!S41</f>
        <v>387.03000000000003</v>
      </c>
      <c r="N78" s="9">
        <f>H166</f>
        <v>387.03000000000003</v>
      </c>
      <c r="O78" s="9">
        <f>H239</f>
        <v>387.03000000000003</v>
      </c>
      <c r="P78" s="3" t="s">
        <v>164</v>
      </c>
      <c r="Q78" s="3"/>
      <c r="R78" s="3"/>
      <c r="S78" s="3"/>
      <c r="T78" s="31" t="s">
        <v>157</v>
      </c>
      <c r="U78" s="52">
        <f>'Referenz Pflasterwerk'!AB26</f>
        <v>2665.0220039999999</v>
      </c>
      <c r="V78" s="52">
        <f>S163</f>
        <v>4797.0396071999994</v>
      </c>
      <c r="W78" s="52">
        <f>S236</f>
        <v>8528.0704127999998</v>
      </c>
      <c r="X78" s="3"/>
      <c r="Y78" s="115"/>
      <c r="Z78" s="115"/>
      <c r="AA78" s="63"/>
    </row>
    <row r="79" spans="2:27" ht="15.75" x14ac:dyDescent="0.3">
      <c r="B79" s="3"/>
      <c r="C79" s="3"/>
      <c r="D79" s="3"/>
      <c r="E79" s="3"/>
      <c r="F79" s="3"/>
      <c r="G79" s="3"/>
      <c r="H79" s="3"/>
      <c r="I79" s="3"/>
      <c r="J79" s="3"/>
      <c r="K79" s="3"/>
      <c r="L79" s="29" t="str">
        <f>D171</f>
        <v>Farben</v>
      </c>
      <c r="M79" s="26">
        <f>'Referenz Pflasterwerk'!S46</f>
        <v>1040</v>
      </c>
      <c r="N79" s="26">
        <f>H171</f>
        <v>1040</v>
      </c>
      <c r="O79" s="26">
        <f>H244</f>
        <v>1040</v>
      </c>
      <c r="P79" s="25" t="s">
        <v>164</v>
      </c>
      <c r="Q79" s="3"/>
      <c r="R79" s="3"/>
      <c r="S79" s="3"/>
      <c r="T79" s="31" t="s">
        <v>158</v>
      </c>
      <c r="U79" s="52">
        <f>'Referenz Pflasterwerk'!AB27</f>
        <v>7162.5</v>
      </c>
      <c r="V79" s="52">
        <f>S164</f>
        <v>0</v>
      </c>
      <c r="W79" s="52">
        <f>S237</f>
        <v>0</v>
      </c>
      <c r="X79" s="3"/>
      <c r="Y79" s="115"/>
      <c r="Z79" s="115"/>
      <c r="AA79" s="63"/>
    </row>
    <row r="80" spans="2:27" ht="15.75" x14ac:dyDescent="0.3">
      <c r="B80" s="3"/>
      <c r="C80" s="3"/>
      <c r="D80" s="3"/>
      <c r="E80" s="3"/>
      <c r="F80" s="3"/>
      <c r="G80" s="3"/>
      <c r="H80" s="3"/>
      <c r="I80" s="3"/>
      <c r="J80" s="3"/>
      <c r="K80" s="3"/>
      <c r="L80" s="8" t="str">
        <f>C173</f>
        <v>Zusatzstoffe (Füllstoffe)</v>
      </c>
      <c r="M80" s="9">
        <f>'Referenz Pflasterwerk'!S48</f>
        <v>424.19999999999993</v>
      </c>
      <c r="N80" s="9">
        <f>H173</f>
        <v>424.19999999999993</v>
      </c>
      <c r="O80" s="9">
        <f>H246</f>
        <v>424.19999999999993</v>
      </c>
      <c r="P80" s="3" t="s">
        <v>164</v>
      </c>
      <c r="Q80" s="3"/>
      <c r="R80" s="3"/>
      <c r="S80" s="3"/>
      <c r="T80" s="31" t="s">
        <v>159</v>
      </c>
      <c r="U80" s="52">
        <f>'Referenz Pflasterwerk'!AB28</f>
        <v>263015.57401117252</v>
      </c>
      <c r="V80" s="52">
        <f>S165</f>
        <v>472914.69572011038</v>
      </c>
      <c r="W80" s="52">
        <f>S238</f>
        <v>840737.2368357518</v>
      </c>
      <c r="X80" s="3"/>
      <c r="Y80" s="115"/>
      <c r="Z80" s="115"/>
      <c r="AA80" s="63"/>
    </row>
    <row r="81" spans="2:27" ht="16.5" thickBot="1" x14ac:dyDescent="0.35">
      <c r="B81" s="3"/>
      <c r="C81" s="3"/>
      <c r="D81" s="3"/>
      <c r="E81" s="3"/>
      <c r="F81" s="3"/>
      <c r="G81" s="3"/>
      <c r="H81" s="3"/>
      <c r="I81" s="3"/>
      <c r="J81" s="3"/>
      <c r="K81" s="3"/>
      <c r="L81" s="29" t="str">
        <f>C178</f>
        <v>Zusatzmittel</v>
      </c>
      <c r="M81" s="26">
        <f>'Referenz Pflasterwerk'!S53</f>
        <v>185.55932668689491</v>
      </c>
      <c r="N81" s="26">
        <f>H178</f>
        <v>185.55932668689491</v>
      </c>
      <c r="O81" s="26">
        <f>H251</f>
        <v>185.55932668689491</v>
      </c>
      <c r="P81" s="25" t="s">
        <v>164</v>
      </c>
      <c r="Q81" s="3"/>
      <c r="R81" s="3"/>
      <c r="S81" s="3"/>
      <c r="T81" s="27" t="s">
        <v>70</v>
      </c>
      <c r="U81" s="56">
        <f>U77+U76+U75+U74+U66</f>
        <v>445512.09601517254</v>
      </c>
      <c r="V81" s="56">
        <f t="shared" ref="V81:W81" si="3">V77+V76+V75+V74+V66</f>
        <v>652255.73532731039</v>
      </c>
      <c r="W81" s="56">
        <f t="shared" si="3"/>
        <v>1023809.3072485517</v>
      </c>
      <c r="X81" s="3"/>
      <c r="Y81" s="115"/>
      <c r="Z81" s="115"/>
      <c r="AA81" s="63"/>
    </row>
    <row r="82" spans="2:27" ht="16.5" thickTop="1" x14ac:dyDescent="0.3">
      <c r="B82" s="3"/>
      <c r="C82" s="3"/>
      <c r="D82" s="3"/>
      <c r="E82" s="3"/>
      <c r="F82" s="3"/>
      <c r="G82" s="3"/>
      <c r="H82" s="3"/>
      <c r="I82" s="3"/>
      <c r="J82" s="3"/>
      <c r="K82" s="3"/>
      <c r="L82" s="8" t="s">
        <v>194</v>
      </c>
      <c r="M82" s="9">
        <f>'Referenz Pflasterwerk'!S59+'Referenz Pflasterwerk'!S60</f>
        <v>5.4399999999999997E-2</v>
      </c>
      <c r="N82" s="9">
        <f>H184+H185</f>
        <v>5.4399999999999997E-2</v>
      </c>
      <c r="O82" s="9">
        <f>H257+H258</f>
        <v>5.4399999999999997E-2</v>
      </c>
      <c r="P82" s="3" t="s">
        <v>164</v>
      </c>
      <c r="Q82" s="3"/>
      <c r="R82" s="3"/>
      <c r="S82" s="3"/>
      <c r="T82" s="3"/>
      <c r="U82" s="3"/>
      <c r="V82" s="3"/>
      <c r="W82" s="3"/>
      <c r="X82" s="3"/>
      <c r="Y82" s="63"/>
      <c r="Z82" s="63"/>
      <c r="AA82" s="63"/>
    </row>
    <row r="83" spans="2:27" ht="16.5" thickBot="1" x14ac:dyDescent="0.35">
      <c r="B83" s="3"/>
      <c r="C83" s="3"/>
      <c r="D83" s="3"/>
      <c r="E83" s="3"/>
      <c r="F83" s="3"/>
      <c r="G83" s="3"/>
      <c r="H83" s="3"/>
      <c r="I83" s="3"/>
      <c r="J83" s="3"/>
      <c r="K83" s="3"/>
      <c r="L83" s="29" t="str">
        <f>C187</f>
        <v>Oberflächenschutzsysteme</v>
      </c>
      <c r="M83" s="26">
        <f>'Referenz Pflasterwerk'!S62</f>
        <v>0</v>
      </c>
      <c r="N83" s="26">
        <f>H187</f>
        <v>0</v>
      </c>
      <c r="O83" s="26">
        <f>H260</f>
        <v>0</v>
      </c>
      <c r="P83" s="25" t="s">
        <v>164</v>
      </c>
      <c r="Q83" s="3"/>
      <c r="R83" s="3"/>
      <c r="S83" s="3"/>
      <c r="T83" s="104" t="s">
        <v>211</v>
      </c>
      <c r="U83" s="105">
        <f>U81-U80</f>
        <v>182496.52200400003</v>
      </c>
      <c r="V83" s="105">
        <f>V81-V80</f>
        <v>179341.03960720001</v>
      </c>
      <c r="W83" s="105">
        <f>W81-W80</f>
        <v>183072.07041279995</v>
      </c>
      <c r="X83" s="3"/>
      <c r="Y83" s="3"/>
      <c r="Z83" s="3"/>
      <c r="AA83" s="3"/>
    </row>
    <row r="84" spans="2:27" ht="16.5" thickBot="1" x14ac:dyDescent="0.35">
      <c r="B84" s="3"/>
      <c r="C84" s="3"/>
      <c r="D84" s="3"/>
      <c r="E84" s="3"/>
      <c r="F84" s="3"/>
      <c r="G84" s="3"/>
      <c r="H84" s="3"/>
      <c r="I84" s="3"/>
      <c r="J84" s="3"/>
      <c r="K84" s="3"/>
      <c r="L84" s="8" t="str">
        <f>C192</f>
        <v>Oberflächenbearbeitung (vor/nach Erhärtung)</v>
      </c>
      <c r="M84" s="9">
        <f>'Referenz Pflasterwerk'!S67</f>
        <v>0</v>
      </c>
      <c r="N84" s="9">
        <f>H192</f>
        <v>0</v>
      </c>
      <c r="O84" s="9">
        <f>H265</f>
        <v>0</v>
      </c>
      <c r="P84" s="3" t="s">
        <v>164</v>
      </c>
      <c r="Q84" s="3"/>
      <c r="R84" s="3"/>
      <c r="S84" s="3"/>
      <c r="T84" s="106" t="s">
        <v>161</v>
      </c>
      <c r="U84" s="107">
        <f>U81-U77</f>
        <v>172669</v>
      </c>
      <c r="V84" s="107">
        <f>V81-V77</f>
        <v>174544</v>
      </c>
      <c r="W84" s="107">
        <f>W81-W77</f>
        <v>174544</v>
      </c>
      <c r="X84" s="3"/>
      <c r="Y84" s="3"/>
      <c r="Z84" s="3"/>
      <c r="AA84" s="3"/>
    </row>
    <row r="85" spans="2:27" ht="15.75" x14ac:dyDescent="0.3">
      <c r="B85" s="3"/>
      <c r="C85" s="3"/>
      <c r="D85" s="3"/>
      <c r="E85" s="3"/>
      <c r="F85" s="3"/>
      <c r="G85" s="3"/>
      <c r="H85" s="3"/>
      <c r="I85" s="3"/>
      <c r="J85" s="3"/>
      <c r="K85" s="3"/>
      <c r="L85" s="29" t="str">
        <f>D197</f>
        <v>Verpackungsmaterial</v>
      </c>
      <c r="M85" s="26">
        <f>'Referenz Pflasterwerk'!S72</f>
        <v>161.20000000000002</v>
      </c>
      <c r="N85" s="26">
        <f>H197</f>
        <v>161.20000000000002</v>
      </c>
      <c r="O85" s="26">
        <f>H270</f>
        <v>161.20000000000002</v>
      </c>
      <c r="P85" s="25" t="s">
        <v>164</v>
      </c>
      <c r="Q85" s="3"/>
      <c r="R85" s="3"/>
      <c r="S85" s="3"/>
      <c r="T85" s="3"/>
      <c r="U85" s="3"/>
      <c r="V85" s="3"/>
      <c r="W85" s="3"/>
      <c r="X85" s="3"/>
      <c r="Y85" s="3"/>
      <c r="Z85" s="3"/>
      <c r="AA85" s="3"/>
    </row>
    <row r="86" spans="2:27" ht="15" thickBot="1" x14ac:dyDescent="0.3">
      <c r="B86" s="3"/>
      <c r="C86" s="3"/>
      <c r="D86" s="3"/>
      <c r="E86" s="3"/>
      <c r="F86" s="3"/>
      <c r="G86" s="3"/>
      <c r="H86" s="3"/>
      <c r="I86" s="3"/>
      <c r="J86" s="3"/>
      <c r="K86" s="3"/>
      <c r="L86" s="27" t="s">
        <v>70</v>
      </c>
      <c r="M86" s="28">
        <f>SUM(M75:M85)</f>
        <v>10520.622960446897</v>
      </c>
      <c r="N86" s="28">
        <f t="shared" ref="N86" si="4">SUM(N75:N85)</f>
        <v>10509.215460446898</v>
      </c>
      <c r="O86" s="28">
        <f>SUM(O75:O85)</f>
        <v>10509.215460446898</v>
      </c>
      <c r="P86" s="27" t="s">
        <v>165</v>
      </c>
      <c r="Q86" s="3"/>
      <c r="R86" s="3"/>
      <c r="S86" s="3"/>
      <c r="T86" s="3"/>
      <c r="U86" s="3"/>
      <c r="V86" s="3"/>
      <c r="W86" s="3"/>
      <c r="X86" s="3"/>
      <c r="Y86" s="3"/>
      <c r="Z86" s="3"/>
      <c r="AA86" s="3"/>
    </row>
    <row r="87" spans="2:27" ht="13.5" thickTop="1" x14ac:dyDescent="0.2">
      <c r="B87" s="3"/>
      <c r="C87" s="3"/>
      <c r="D87" s="3"/>
      <c r="E87" s="3"/>
      <c r="F87" s="3"/>
      <c r="G87" s="3"/>
      <c r="H87" s="3"/>
      <c r="I87" s="3"/>
      <c r="J87" s="3"/>
      <c r="K87" s="3"/>
      <c r="L87" s="8"/>
      <c r="M87" s="82"/>
      <c r="N87" s="82"/>
      <c r="O87" s="82"/>
      <c r="P87" s="8"/>
      <c r="Q87" s="3"/>
      <c r="R87" s="3"/>
      <c r="S87" s="3"/>
      <c r="T87" s="3"/>
      <c r="U87" s="3"/>
      <c r="V87" s="3"/>
      <c r="W87" s="3"/>
      <c r="X87" s="3"/>
      <c r="Y87" s="3"/>
      <c r="Z87" s="3"/>
      <c r="AA87" s="3"/>
    </row>
    <row r="88" spans="2:27" x14ac:dyDescent="0.2">
      <c r="B88" s="3"/>
      <c r="C88" s="3"/>
      <c r="D88" s="3"/>
      <c r="E88" s="3"/>
      <c r="F88" s="3"/>
      <c r="G88" s="3"/>
      <c r="H88" s="3"/>
      <c r="I88" s="3"/>
      <c r="J88" s="3"/>
      <c r="K88" s="3"/>
      <c r="L88" s="8"/>
      <c r="M88" s="82"/>
      <c r="N88" s="82"/>
      <c r="O88" s="82"/>
      <c r="P88" s="8"/>
      <c r="Q88" s="3"/>
      <c r="R88" s="3"/>
      <c r="S88" s="3"/>
      <c r="T88" s="3"/>
      <c r="U88" s="3"/>
      <c r="V88" s="3"/>
      <c r="W88" s="3"/>
      <c r="X88" s="3"/>
      <c r="Y88" s="3"/>
      <c r="Z88" s="3"/>
      <c r="AA88" s="3"/>
    </row>
    <row r="89" spans="2:27" ht="15" x14ac:dyDescent="0.25">
      <c r="B89" s="3"/>
      <c r="C89" s="3"/>
      <c r="D89" s="3"/>
      <c r="E89" s="3"/>
      <c r="F89" s="3"/>
      <c r="G89" s="3"/>
      <c r="H89" s="3"/>
      <c r="I89" s="3"/>
      <c r="J89" s="3"/>
      <c r="K89" s="3"/>
      <c r="L89" s="23" t="s">
        <v>209</v>
      </c>
      <c r="M89" s="3"/>
      <c r="N89" s="3"/>
      <c r="O89" s="3"/>
      <c r="P89" s="3"/>
      <c r="Q89" s="3"/>
      <c r="R89" s="3"/>
      <c r="S89" s="3"/>
      <c r="T89" s="3"/>
      <c r="U89" s="3"/>
      <c r="V89" s="3"/>
      <c r="W89" s="3"/>
      <c r="X89" s="3"/>
      <c r="Y89" s="3"/>
      <c r="Z89" s="3"/>
      <c r="AA89" s="3"/>
    </row>
    <row r="90" spans="2:27" ht="15" x14ac:dyDescent="0.25">
      <c r="B90" s="3"/>
      <c r="C90" s="3"/>
      <c r="D90" s="3"/>
      <c r="E90" s="3"/>
      <c r="F90" s="3"/>
      <c r="G90" s="3"/>
      <c r="H90" s="3"/>
      <c r="I90" s="3"/>
      <c r="J90" s="3"/>
      <c r="K90" s="3"/>
      <c r="L90" s="34"/>
      <c r="M90" s="46">
        <v>2020</v>
      </c>
      <c r="N90" s="47">
        <v>2025</v>
      </c>
      <c r="O90" s="47">
        <v>2030</v>
      </c>
      <c r="P90" s="34"/>
      <c r="Q90" s="3"/>
      <c r="R90" s="3"/>
      <c r="S90" s="3"/>
      <c r="T90" s="3"/>
      <c r="U90" s="3"/>
      <c r="V90" s="3"/>
      <c r="W90" s="3"/>
      <c r="X90" s="3"/>
      <c r="Y90" s="3"/>
      <c r="Z90" s="3"/>
      <c r="AA90" s="3"/>
    </row>
    <row r="91" spans="2:27" x14ac:dyDescent="0.2">
      <c r="B91" s="3"/>
      <c r="C91" s="3"/>
      <c r="D91" s="3"/>
      <c r="E91" s="3"/>
      <c r="F91" s="3"/>
      <c r="G91" s="3"/>
      <c r="H91" s="3"/>
      <c r="I91" s="3"/>
      <c r="J91" s="3"/>
      <c r="K91" s="3"/>
      <c r="L91" s="24"/>
      <c r="M91" s="48" t="s">
        <v>92</v>
      </c>
      <c r="N91" s="49"/>
      <c r="O91" s="49"/>
      <c r="P91" s="24"/>
      <c r="Q91" s="3"/>
      <c r="R91" s="3"/>
      <c r="S91" s="3"/>
      <c r="T91" s="3"/>
      <c r="U91" s="3"/>
      <c r="V91" s="3"/>
      <c r="W91" s="3"/>
      <c r="X91" s="3"/>
      <c r="Y91" s="3"/>
      <c r="Z91" s="3"/>
      <c r="AA91" s="3"/>
    </row>
    <row r="92" spans="2:27" ht="15.75" x14ac:dyDescent="0.3">
      <c r="B92" s="3"/>
      <c r="C92" s="3"/>
      <c r="D92" s="3"/>
      <c r="E92" s="3"/>
      <c r="F92" s="3"/>
      <c r="G92" s="3"/>
      <c r="H92" s="3"/>
      <c r="I92" s="3"/>
      <c r="J92" s="3"/>
      <c r="K92" s="3"/>
      <c r="L92" s="29" t="s">
        <v>118</v>
      </c>
      <c r="M92" s="97">
        <f>M66/IF(NOT(ISBLANK('Referenz Pflasterwerk'!$I$12)),'Referenz Pflasterwerk'!$I$12,'Referenz Pflasterwerk'!$F$12)</f>
        <v>1.0660088015999999E-3</v>
      </c>
      <c r="N92" s="97">
        <f>N66/IF(NOT(ISBLANK('Referenz Pflasterwerk'!$I$12)),'Referenz Pflasterwerk'!$I$12,'Referenz Pflasterwerk'!$F$12)</f>
        <v>1.0660088015999999E-3</v>
      </c>
      <c r="O92" s="97">
        <f>O66/IF(NOT(ISBLANK('Referenz Pflasterwerk'!$I$12)),'Referenz Pflasterwerk'!$I$12,'Referenz Pflasterwerk'!$F$12)</f>
        <v>1.0660088015999999E-3</v>
      </c>
      <c r="P92" s="25" t="s">
        <v>208</v>
      </c>
      <c r="Q92" s="3"/>
      <c r="R92" s="3"/>
      <c r="S92" s="3"/>
      <c r="T92" s="3"/>
      <c r="U92" s="3"/>
      <c r="V92" s="3"/>
      <c r="W92" s="3"/>
      <c r="X92" s="3"/>
      <c r="Y92" s="3"/>
      <c r="Z92" s="3"/>
      <c r="AA92" s="3"/>
    </row>
    <row r="93" spans="2:27" ht="15.75" x14ac:dyDescent="0.3">
      <c r="B93" s="3"/>
      <c r="C93" s="3"/>
      <c r="D93" s="3"/>
      <c r="E93" s="3"/>
      <c r="F93" s="3"/>
      <c r="G93" s="3"/>
      <c r="H93" s="3"/>
      <c r="I93" s="3"/>
      <c r="J93" s="3"/>
      <c r="K93" s="3"/>
      <c r="L93" s="8" t="s">
        <v>28</v>
      </c>
      <c r="M93" s="98">
        <f>M67/IF(NOT(ISBLANK('Referenz Pflasterwerk'!$I$12)),'Referenz Pflasterwerk'!$I$12,'Referenz Pflasterwerk'!$F$12)</f>
        <v>2.8649999999999999E-3</v>
      </c>
      <c r="N93" s="98">
        <f>N67/IF(NOT(ISBLANK('Referenz Pflasterwerk'!$I$12)),'Referenz Pflasterwerk'!$I$12,'Referenz Pflasterwerk'!$F$12)</f>
        <v>0</v>
      </c>
      <c r="O93" s="98">
        <f>O67/IF(NOT(ISBLANK('Referenz Pflasterwerk'!$I$12)),'Referenz Pflasterwerk'!$I$12,'Referenz Pflasterwerk'!$F$12)</f>
        <v>0</v>
      </c>
      <c r="P93" s="3" t="s">
        <v>208</v>
      </c>
      <c r="Q93" s="3"/>
      <c r="R93" s="3"/>
      <c r="S93" s="3"/>
      <c r="T93" s="3"/>
      <c r="U93" s="3"/>
      <c r="V93" s="3"/>
      <c r="W93" s="3"/>
      <c r="X93" s="3"/>
      <c r="Y93" s="3"/>
      <c r="Z93" s="3"/>
      <c r="AA93" s="3"/>
    </row>
    <row r="94" spans="2:27" ht="15.75" x14ac:dyDescent="0.3">
      <c r="B94" s="3"/>
      <c r="C94" s="3"/>
      <c r="D94" s="3"/>
      <c r="E94" s="3"/>
      <c r="F94" s="3"/>
      <c r="G94" s="3"/>
      <c r="H94" s="3"/>
      <c r="I94" s="3"/>
      <c r="J94" s="3"/>
      <c r="K94" s="3"/>
      <c r="L94" s="29" t="s">
        <v>29</v>
      </c>
      <c r="M94" s="97">
        <f>M68/IF(NOT(ISBLANK('Referenz Pflasterwerk'!$I$12)),'Referenz Pflasterwerk'!$I$12,'Referenz Pflasterwerk'!$F$12)</f>
        <v>0.10520622960446901</v>
      </c>
      <c r="N94" s="97">
        <f>N68/IF(NOT(ISBLANK('Referenz Pflasterwerk'!$I$12)),'Referenz Pflasterwerk'!$I$12,'Referenz Pflasterwerk'!$F$12)</f>
        <v>0.10509215460446898</v>
      </c>
      <c r="O94" s="97">
        <f>O68/IF(NOT(ISBLANK('Referenz Pflasterwerk'!$I$12)),'Referenz Pflasterwerk'!$I$12,'Referenz Pflasterwerk'!$F$12)</f>
        <v>0.10509215460446898</v>
      </c>
      <c r="P94" s="25" t="s">
        <v>208</v>
      </c>
      <c r="Q94" s="3"/>
      <c r="R94" s="3"/>
      <c r="S94" s="3"/>
      <c r="T94" s="3"/>
      <c r="U94" s="3"/>
      <c r="V94" s="3"/>
      <c r="W94" s="3"/>
      <c r="X94" s="3"/>
      <c r="Y94" s="3"/>
      <c r="Z94" s="3"/>
      <c r="AA94" s="3"/>
    </row>
    <row r="95" spans="2:27" ht="15" thickBot="1" x14ac:dyDescent="0.3">
      <c r="B95" s="3"/>
      <c r="C95" s="3"/>
      <c r="D95" s="3"/>
      <c r="E95" s="3"/>
      <c r="F95" s="3"/>
      <c r="G95" s="3"/>
      <c r="H95" s="3"/>
      <c r="I95" s="3"/>
      <c r="J95" s="3"/>
      <c r="K95" s="3"/>
      <c r="L95" s="27" t="s">
        <v>70</v>
      </c>
      <c r="M95" s="99">
        <f>M69/IF(NOT(ISBLANK('Referenz Pflasterwerk'!$I$12)),'Referenz Pflasterwerk'!$I$12,'Referenz Pflasterwerk'!$F$12)</f>
        <v>0.10913723840606901</v>
      </c>
      <c r="N95" s="99">
        <f>N69/IF(NOT(ISBLANK('Referenz Pflasterwerk'!$I$12)),'Referenz Pflasterwerk'!$I$12,'Referenz Pflasterwerk'!$F$12)</f>
        <v>0.10615816340606898</v>
      </c>
      <c r="O95" s="99">
        <f>O69/IF(NOT(ISBLANK('Referenz Pflasterwerk'!$I$12)),'Referenz Pflasterwerk'!$I$12,'Referenz Pflasterwerk'!$F$12)</f>
        <v>0.10615816340606898</v>
      </c>
      <c r="P95" s="27" t="s">
        <v>210</v>
      </c>
      <c r="Q95" s="3"/>
      <c r="R95" s="3"/>
      <c r="S95" s="3"/>
      <c r="T95" s="3"/>
      <c r="U95" s="3"/>
      <c r="V95" s="3"/>
      <c r="W95" s="3"/>
      <c r="X95" s="3"/>
      <c r="Y95" s="3"/>
      <c r="Z95" s="3"/>
      <c r="AA95" s="3"/>
    </row>
    <row r="96" spans="2:27" ht="13.5" thickTop="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row>
    <row r="97" spans="2:27" x14ac:dyDescent="0.2">
      <c r="B97" s="3"/>
      <c r="C97" s="3"/>
      <c r="D97" s="3"/>
      <c r="E97" s="3"/>
      <c r="F97" s="3"/>
      <c r="G97" s="3"/>
      <c r="H97" s="3"/>
      <c r="I97" s="3"/>
      <c r="J97" s="3"/>
      <c r="K97" s="3"/>
      <c r="L97" s="3"/>
      <c r="M97" s="3"/>
      <c r="N97" s="3"/>
      <c r="O97" s="3"/>
      <c r="P97" s="3"/>
      <c r="Q97" s="3"/>
      <c r="R97" s="3"/>
      <c r="S97" s="3"/>
      <c r="T97" s="3"/>
      <c r="U97" s="3"/>
      <c r="V97" s="3"/>
      <c r="W97" s="3"/>
      <c r="X97" s="3"/>
      <c r="Y97" s="3"/>
      <c r="Z97" s="3"/>
      <c r="AA97" s="3"/>
    </row>
    <row r="98" spans="2:27" x14ac:dyDescent="0.2">
      <c r="B98" s="3"/>
      <c r="C98" s="3"/>
      <c r="D98" s="3"/>
      <c r="E98" s="3"/>
      <c r="F98" s="3"/>
      <c r="G98" s="3"/>
      <c r="H98" s="3"/>
      <c r="I98" s="3"/>
      <c r="J98" s="3"/>
      <c r="K98" s="3"/>
      <c r="L98" s="3"/>
      <c r="M98" s="3"/>
      <c r="N98" s="3"/>
      <c r="O98" s="3"/>
      <c r="P98" s="3"/>
      <c r="Q98" s="3"/>
      <c r="R98" s="3"/>
      <c r="S98" s="3"/>
      <c r="T98" s="3"/>
      <c r="U98" s="3"/>
      <c r="V98" s="3"/>
      <c r="W98" s="3"/>
      <c r="X98" s="3"/>
      <c r="Y98" s="3"/>
      <c r="Z98" s="3"/>
      <c r="AA98" s="3"/>
    </row>
    <row r="101" spans="2:27" hidden="1" outlineLevel="1"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2:27" ht="15.75" hidden="1" outlineLevel="1" x14ac:dyDescent="0.25">
      <c r="B102" s="3"/>
      <c r="C102" s="3"/>
      <c r="D102" s="62" t="s">
        <v>146</v>
      </c>
      <c r="E102" s="3"/>
      <c r="F102" s="3"/>
      <c r="G102" s="3"/>
      <c r="H102" s="3"/>
      <c r="I102" s="3"/>
      <c r="J102" s="3"/>
      <c r="K102" s="3"/>
      <c r="L102" s="62" t="s">
        <v>146</v>
      </c>
      <c r="M102" s="3"/>
      <c r="N102" s="3"/>
      <c r="O102" s="3"/>
      <c r="P102" s="3"/>
      <c r="Q102" s="3"/>
      <c r="R102" s="3"/>
      <c r="S102" s="62" t="s">
        <v>146</v>
      </c>
      <c r="T102" s="24"/>
      <c r="U102" s="24"/>
      <c r="V102" s="24"/>
      <c r="W102" s="24"/>
      <c r="X102" s="3"/>
      <c r="Y102" s="3"/>
    </row>
    <row r="103" spans="2:27" ht="15" hidden="1" outlineLevel="1" x14ac:dyDescent="0.25">
      <c r="B103" s="3"/>
      <c r="C103" s="3"/>
      <c r="D103" s="35" t="s">
        <v>116</v>
      </c>
      <c r="E103" s="35">
        <v>2020</v>
      </c>
      <c r="F103" s="35">
        <v>2025</v>
      </c>
      <c r="G103" s="35">
        <v>2030</v>
      </c>
      <c r="H103" s="34"/>
      <c r="I103" s="3"/>
      <c r="J103" s="3"/>
      <c r="K103" s="3"/>
      <c r="L103" s="35" t="s">
        <v>265</v>
      </c>
      <c r="M103" s="35">
        <v>2020</v>
      </c>
      <c r="N103" s="35">
        <v>2025</v>
      </c>
      <c r="O103" s="35">
        <v>2030</v>
      </c>
      <c r="P103" s="34"/>
      <c r="Q103" s="3"/>
      <c r="R103" s="3"/>
      <c r="S103" s="3"/>
      <c r="T103" s="46" t="s">
        <v>200</v>
      </c>
      <c r="U103" s="47">
        <v>2020</v>
      </c>
      <c r="V103" s="47">
        <v>2025</v>
      </c>
      <c r="W103" s="47">
        <v>2030</v>
      </c>
      <c r="X103" s="3"/>
      <c r="Y103" s="3"/>
    </row>
    <row r="104" spans="2:27" hidden="1" outlineLevel="1" x14ac:dyDescent="0.2">
      <c r="B104" s="3"/>
      <c r="C104" s="3"/>
      <c r="D104" s="24"/>
      <c r="E104" s="60" t="s">
        <v>92</v>
      </c>
      <c r="F104" s="59"/>
      <c r="G104" s="59"/>
      <c r="H104" s="24"/>
      <c r="I104" s="3"/>
      <c r="J104" s="3"/>
      <c r="K104" s="3"/>
      <c r="L104" s="24"/>
      <c r="M104" s="60" t="s">
        <v>92</v>
      </c>
      <c r="N104" s="59"/>
      <c r="O104" s="59"/>
      <c r="P104" s="24"/>
      <c r="Q104" s="3"/>
      <c r="R104" s="3"/>
      <c r="S104" s="3"/>
      <c r="T104" s="24"/>
      <c r="U104" s="50" t="s">
        <v>92</v>
      </c>
      <c r="V104" s="50"/>
      <c r="W104" s="59"/>
      <c r="X104" s="3"/>
      <c r="Y104" s="3"/>
    </row>
    <row r="105" spans="2:27" ht="15.75" hidden="1" outlineLevel="1" x14ac:dyDescent="0.3">
      <c r="B105" s="3"/>
      <c r="C105" s="3"/>
      <c r="D105" s="3" t="str">
        <f t="shared" ref="D105:D111" si="5">IF($I105,D66,"")</f>
        <v/>
      </c>
      <c r="E105" s="10" t="e">
        <f t="shared" ref="E105:G111" si="6">IF($I105,E66,NA())</f>
        <v>#N/A</v>
      </c>
      <c r="F105" s="10" t="e">
        <f t="shared" si="6"/>
        <v>#N/A</v>
      </c>
      <c r="G105" s="10" t="e">
        <f t="shared" si="6"/>
        <v>#N/A</v>
      </c>
      <c r="H105" s="3" t="s">
        <v>164</v>
      </c>
      <c r="I105" s="361" t="b">
        <v>0</v>
      </c>
      <c r="J105" s="3"/>
      <c r="K105" s="3"/>
      <c r="L105" s="3" t="str">
        <f t="shared" ref="L105:L115" si="7">IF($Q105,L75,"")</f>
        <v>Energieträger gesamt</v>
      </c>
      <c r="M105" s="9">
        <f>IF($Q105,M75,NA())</f>
        <v>60.712972560000004</v>
      </c>
      <c r="N105" s="9">
        <f>IF($Q105,N75,NA())</f>
        <v>49.305472560000005</v>
      </c>
      <c r="O105" s="9">
        <f t="shared" ref="O105" si="8">IF($Q105,O75,NA())</f>
        <v>49.305472560000005</v>
      </c>
      <c r="P105" s="3" t="s">
        <v>164</v>
      </c>
      <c r="Q105" s="3" t="b">
        <v>1</v>
      </c>
      <c r="R105" s="3"/>
      <c r="S105" s="3"/>
      <c r="T105" s="57" t="s">
        <v>160</v>
      </c>
      <c r="U105" s="58">
        <f>SUM(U106:U112)</f>
        <v>172669</v>
      </c>
      <c r="V105" s="58">
        <f t="shared" ref="V105:W105" si="9">SUM(V106:V112)</f>
        <v>174544</v>
      </c>
      <c r="W105" s="58">
        <f t="shared" si="9"/>
        <v>174544</v>
      </c>
      <c r="X105" s="3"/>
      <c r="Y105" s="3"/>
    </row>
    <row r="106" spans="2:27" ht="15.75" hidden="1" outlineLevel="1" x14ac:dyDescent="0.3">
      <c r="B106" s="3"/>
      <c r="C106" s="3"/>
      <c r="D106" s="3" t="str">
        <f t="shared" si="5"/>
        <v/>
      </c>
      <c r="E106" s="10" t="e">
        <f t="shared" si="6"/>
        <v>#N/A</v>
      </c>
      <c r="F106" s="10" t="e">
        <f t="shared" si="6"/>
        <v>#N/A</v>
      </c>
      <c r="G106" s="10" t="e">
        <f t="shared" si="6"/>
        <v>#N/A</v>
      </c>
      <c r="H106" s="3" t="s">
        <v>164</v>
      </c>
      <c r="I106" s="361" t="b">
        <v>0</v>
      </c>
      <c r="J106" s="3"/>
      <c r="K106" s="3"/>
      <c r="L106" s="3" t="str">
        <f t="shared" si="7"/>
        <v>Transport gesamt</v>
      </c>
      <c r="M106" s="9">
        <f t="shared" ref="M106:O115" si="10">IF($Q106,M76,NA())</f>
        <v>578.62626120000004</v>
      </c>
      <c r="N106" s="9">
        <f t="shared" si="10"/>
        <v>578.62626120000004</v>
      </c>
      <c r="O106" s="9">
        <f t="shared" si="10"/>
        <v>578.62626120000004</v>
      </c>
      <c r="P106" s="3" t="s">
        <v>164</v>
      </c>
      <c r="Q106" s="3" t="b">
        <v>1</v>
      </c>
      <c r="R106" s="3"/>
      <c r="S106" s="3"/>
      <c r="T106" s="31" t="s">
        <v>32</v>
      </c>
      <c r="U106" s="52">
        <f>U67</f>
        <v>2745</v>
      </c>
      <c r="V106" s="52">
        <f t="shared" ref="V106:W106" si="11">V67</f>
        <v>2745</v>
      </c>
      <c r="W106" s="52">
        <f t="shared" si="11"/>
        <v>2745</v>
      </c>
      <c r="X106" s="3"/>
      <c r="Y106" s="3"/>
    </row>
    <row r="107" spans="2:27" ht="15.75" hidden="1" outlineLevel="1" x14ac:dyDescent="0.3">
      <c r="B107" s="3"/>
      <c r="C107" s="3"/>
      <c r="D107" s="3" t="str">
        <f t="shared" si="5"/>
        <v>Strom</v>
      </c>
      <c r="E107" s="10">
        <f t="shared" si="6"/>
        <v>286.5</v>
      </c>
      <c r="F107" s="10">
        <f t="shared" si="6"/>
        <v>0</v>
      </c>
      <c r="G107" s="10">
        <f t="shared" si="6"/>
        <v>0</v>
      </c>
      <c r="H107" s="3" t="s">
        <v>164</v>
      </c>
      <c r="I107" s="361" t="b">
        <v>1</v>
      </c>
      <c r="J107" s="3"/>
      <c r="K107" s="3"/>
      <c r="L107" s="3" t="str">
        <f t="shared" si="7"/>
        <v>Zement</v>
      </c>
      <c r="M107" s="9">
        <f t="shared" si="10"/>
        <v>7683.24</v>
      </c>
      <c r="N107" s="9">
        <f t="shared" si="10"/>
        <v>7683.24</v>
      </c>
      <c r="O107" s="9">
        <f t="shared" si="10"/>
        <v>7683.24</v>
      </c>
      <c r="P107" s="3" t="s">
        <v>164</v>
      </c>
      <c r="Q107" s="3" t="b">
        <v>1</v>
      </c>
      <c r="R107" s="3"/>
      <c r="S107" s="3"/>
      <c r="T107" s="31" t="s">
        <v>33</v>
      </c>
      <c r="U107" s="52">
        <f t="shared" ref="U107:W112" si="12">U68</f>
        <v>460</v>
      </c>
      <c r="V107" s="52">
        <f t="shared" si="12"/>
        <v>460</v>
      </c>
      <c r="W107" s="52">
        <f t="shared" si="12"/>
        <v>460</v>
      </c>
      <c r="X107" s="3"/>
      <c r="Y107" s="3"/>
    </row>
    <row r="108" spans="2:27" ht="15.75" hidden="1" outlineLevel="1" x14ac:dyDescent="0.3">
      <c r="B108" s="3"/>
      <c r="C108" s="3"/>
      <c r="D108" s="3" t="str">
        <f t="shared" si="5"/>
        <v/>
      </c>
      <c r="E108" s="10" t="e">
        <f t="shared" si="6"/>
        <v>#N/A</v>
      </c>
      <c r="F108" s="10" t="e">
        <f t="shared" si="6"/>
        <v>#N/A</v>
      </c>
      <c r="G108" s="10" t="e">
        <f t="shared" si="6"/>
        <v>#N/A</v>
      </c>
      <c r="H108" s="3" t="s">
        <v>164</v>
      </c>
      <c r="I108" s="361" t="b">
        <v>0</v>
      </c>
      <c r="J108" s="3"/>
      <c r="K108" s="3"/>
      <c r="L108" s="3" t="str">
        <f t="shared" si="7"/>
        <v>Gesteinskörnungen (Zuschlagsstoffe)</v>
      </c>
      <c r="M108" s="9">
        <f t="shared" si="10"/>
        <v>387.03000000000003</v>
      </c>
      <c r="N108" s="9">
        <f t="shared" si="10"/>
        <v>387.03000000000003</v>
      </c>
      <c r="O108" s="9">
        <f t="shared" si="10"/>
        <v>387.03000000000003</v>
      </c>
      <c r="P108" s="3" t="s">
        <v>164</v>
      </c>
      <c r="Q108" s="3" t="b">
        <v>1</v>
      </c>
      <c r="R108" s="3"/>
      <c r="S108" s="3"/>
      <c r="T108" s="31" t="s">
        <v>34</v>
      </c>
      <c r="U108" s="52">
        <f t="shared" si="12"/>
        <v>129000</v>
      </c>
      <c r="V108" s="52">
        <f t="shared" si="12"/>
        <v>130875</v>
      </c>
      <c r="W108" s="52">
        <f t="shared" si="12"/>
        <v>130875</v>
      </c>
      <c r="X108" s="3"/>
      <c r="Y108" s="3"/>
    </row>
    <row r="109" spans="2:27" ht="15.75" hidden="1" outlineLevel="1" x14ac:dyDescent="0.3">
      <c r="B109" s="3"/>
      <c r="C109" s="3"/>
      <c r="D109" s="3" t="str">
        <f t="shared" si="5"/>
        <v/>
      </c>
      <c r="E109" s="10" t="e">
        <f t="shared" si="6"/>
        <v>#N/A</v>
      </c>
      <c r="F109" s="10" t="e">
        <f t="shared" si="6"/>
        <v>#N/A</v>
      </c>
      <c r="G109" s="10" t="e">
        <f t="shared" si="6"/>
        <v>#N/A</v>
      </c>
      <c r="H109" s="3" t="s">
        <v>164</v>
      </c>
      <c r="I109" s="361" t="b">
        <v>0</v>
      </c>
      <c r="J109" s="3"/>
      <c r="K109" s="3"/>
      <c r="L109" s="3" t="str">
        <f t="shared" si="7"/>
        <v>Farben</v>
      </c>
      <c r="M109" s="9">
        <f t="shared" si="10"/>
        <v>1040</v>
      </c>
      <c r="N109" s="9">
        <f t="shared" si="10"/>
        <v>1040</v>
      </c>
      <c r="O109" s="9">
        <f t="shared" si="10"/>
        <v>1040</v>
      </c>
      <c r="P109" s="3" t="s">
        <v>164</v>
      </c>
      <c r="Q109" s="3" t="b">
        <v>1</v>
      </c>
      <c r="R109" s="3"/>
      <c r="S109" s="3"/>
      <c r="T109" s="31" t="s">
        <v>125</v>
      </c>
      <c r="U109" s="52">
        <f t="shared" si="12"/>
        <v>0</v>
      </c>
      <c r="V109" s="52">
        <f t="shared" si="12"/>
        <v>0</v>
      </c>
      <c r="W109" s="52">
        <f t="shared" si="12"/>
        <v>0</v>
      </c>
      <c r="X109" s="3"/>
      <c r="Y109" s="3"/>
    </row>
    <row r="110" spans="2:27" ht="15.75" hidden="1" outlineLevel="1" x14ac:dyDescent="0.3">
      <c r="B110" s="3"/>
      <c r="C110" s="3"/>
      <c r="D110" s="3" t="str">
        <f t="shared" si="5"/>
        <v/>
      </c>
      <c r="E110" s="10" t="e">
        <f t="shared" si="6"/>
        <v>#N/A</v>
      </c>
      <c r="F110" s="10" t="e">
        <f t="shared" si="6"/>
        <v>#N/A</v>
      </c>
      <c r="G110" s="10" t="e">
        <f t="shared" si="6"/>
        <v>#N/A</v>
      </c>
      <c r="H110" s="3" t="s">
        <v>164</v>
      </c>
      <c r="I110" s="361" t="b">
        <v>0</v>
      </c>
      <c r="J110" s="3"/>
      <c r="K110" s="3"/>
      <c r="L110" s="3" t="str">
        <f t="shared" si="7"/>
        <v>Zusatzstoffe (Füllstoffe)</v>
      </c>
      <c r="M110" s="9">
        <f t="shared" si="10"/>
        <v>424.19999999999993</v>
      </c>
      <c r="N110" s="9">
        <f t="shared" si="10"/>
        <v>424.19999999999993</v>
      </c>
      <c r="O110" s="9">
        <f t="shared" si="10"/>
        <v>424.19999999999993</v>
      </c>
      <c r="P110" s="3" t="s">
        <v>164</v>
      </c>
      <c r="Q110" s="3" t="b">
        <v>1</v>
      </c>
      <c r="R110" s="3"/>
      <c r="S110" s="3"/>
      <c r="T110" s="31" t="s">
        <v>126</v>
      </c>
      <c r="U110" s="52">
        <f t="shared" si="12"/>
        <v>0</v>
      </c>
      <c r="V110" s="52">
        <f t="shared" si="12"/>
        <v>0</v>
      </c>
      <c r="W110" s="52">
        <f t="shared" si="12"/>
        <v>0</v>
      </c>
      <c r="X110" s="3"/>
      <c r="Y110" s="3"/>
    </row>
    <row r="111" spans="2:27" ht="15.75" hidden="1" outlineLevel="1" x14ac:dyDescent="0.3">
      <c r="B111" s="3"/>
      <c r="C111" s="3"/>
      <c r="D111" s="3" t="str">
        <f t="shared" si="5"/>
        <v/>
      </c>
      <c r="E111" s="10" t="e">
        <f t="shared" si="6"/>
        <v>#N/A</v>
      </c>
      <c r="F111" s="10" t="e">
        <f t="shared" si="6"/>
        <v>#N/A</v>
      </c>
      <c r="G111" s="10" t="e">
        <f t="shared" si="6"/>
        <v>#N/A</v>
      </c>
      <c r="H111" s="3" t="s">
        <v>164</v>
      </c>
      <c r="I111" s="361" t="b">
        <v>0</v>
      </c>
      <c r="J111" s="3"/>
      <c r="K111" s="3"/>
      <c r="L111" s="3" t="str">
        <f t="shared" si="7"/>
        <v>Zusatzmittel</v>
      </c>
      <c r="M111" s="9">
        <f t="shared" si="10"/>
        <v>185.55932668689491</v>
      </c>
      <c r="N111" s="9">
        <f t="shared" si="10"/>
        <v>185.55932668689491</v>
      </c>
      <c r="O111" s="9">
        <f t="shared" si="10"/>
        <v>185.55932668689491</v>
      </c>
      <c r="P111" s="3" t="s">
        <v>164</v>
      </c>
      <c r="Q111" s="3" t="b">
        <v>1</v>
      </c>
      <c r="R111" s="3"/>
      <c r="S111" s="3"/>
      <c r="T111" s="31" t="s">
        <v>127</v>
      </c>
      <c r="U111" s="52">
        <f t="shared" si="12"/>
        <v>0</v>
      </c>
      <c r="V111" s="52">
        <f t="shared" si="12"/>
        <v>0</v>
      </c>
      <c r="W111" s="52">
        <f t="shared" si="12"/>
        <v>0</v>
      </c>
      <c r="X111" s="3"/>
      <c r="Y111" s="3"/>
    </row>
    <row r="112" spans="2:27" ht="16.5" hidden="1" outlineLevel="1" thickBot="1" x14ac:dyDescent="0.35">
      <c r="B112" s="3"/>
      <c r="C112" s="3"/>
      <c r="D112" s="27" t="s">
        <v>70</v>
      </c>
      <c r="E112" s="33">
        <f>SUMIF($I$105:$I$111,"WAHR",E105:E111)</f>
        <v>286.5</v>
      </c>
      <c r="F112" s="33">
        <f>SUMIF($I$105:$I$111,"WAHR",F105:F111)</f>
        <v>0</v>
      </c>
      <c r="G112" s="33">
        <f>SUMIF($I$105:$I$111,"WAHR",G105:G111)</f>
        <v>0</v>
      </c>
      <c r="H112" s="27" t="s">
        <v>165</v>
      </c>
      <c r="I112" s="3"/>
      <c r="J112" s="3"/>
      <c r="K112" s="3"/>
      <c r="L112" s="3" t="str">
        <f t="shared" si="7"/>
        <v/>
      </c>
      <c r="M112" s="9" t="e">
        <f t="shared" si="10"/>
        <v>#N/A</v>
      </c>
      <c r="N112" s="9" t="e">
        <f t="shared" si="10"/>
        <v>#N/A</v>
      </c>
      <c r="O112" s="9" t="e">
        <f t="shared" si="10"/>
        <v>#N/A</v>
      </c>
      <c r="P112" s="3" t="s">
        <v>164</v>
      </c>
      <c r="Q112" s="3" t="b">
        <v>0</v>
      </c>
      <c r="R112" s="3"/>
      <c r="S112" s="3"/>
      <c r="T112" s="51" t="s">
        <v>35</v>
      </c>
      <c r="U112" s="53">
        <f t="shared" si="12"/>
        <v>40464.000000000007</v>
      </c>
      <c r="V112" s="54">
        <f t="shared" si="12"/>
        <v>40464</v>
      </c>
      <c r="W112" s="54">
        <f t="shared" si="12"/>
        <v>40464</v>
      </c>
      <c r="X112" s="3"/>
      <c r="Y112" s="3"/>
    </row>
    <row r="113" spans="2:25" ht="16.5" hidden="1" outlineLevel="1" thickTop="1" x14ac:dyDescent="0.3">
      <c r="B113" s="3"/>
      <c r="C113" s="3"/>
      <c r="D113" s="3"/>
      <c r="E113" s="3"/>
      <c r="F113" s="3"/>
      <c r="G113" s="3"/>
      <c r="H113" s="3"/>
      <c r="I113" s="3"/>
      <c r="J113" s="3"/>
      <c r="K113" s="3"/>
      <c r="L113" s="3" t="str">
        <f t="shared" si="7"/>
        <v/>
      </c>
      <c r="M113" s="9" t="e">
        <f t="shared" si="10"/>
        <v>#N/A</v>
      </c>
      <c r="N113" s="9" t="e">
        <f t="shared" si="10"/>
        <v>#N/A</v>
      </c>
      <c r="O113" s="9" t="e">
        <f t="shared" si="10"/>
        <v>#N/A</v>
      </c>
      <c r="P113" s="3" t="s">
        <v>164</v>
      </c>
      <c r="Q113" s="3" t="b">
        <v>0</v>
      </c>
      <c r="R113" s="3"/>
      <c r="S113" s="3"/>
      <c r="T113" s="8" t="str">
        <f>IF(X113,"CAPEX","")</f>
        <v/>
      </c>
      <c r="U113" s="55" t="e">
        <f>IF($X113,U74,NA())</f>
        <v>#N/A</v>
      </c>
      <c r="V113" s="55" t="e">
        <f t="shared" ref="V113:W115" si="13">IF($X113,V74,NA())</f>
        <v>#N/A</v>
      </c>
      <c r="W113" s="55" t="e">
        <f t="shared" si="13"/>
        <v>#N/A</v>
      </c>
      <c r="X113" s="361" t="b">
        <v>0</v>
      </c>
      <c r="Y113" s="3"/>
    </row>
    <row r="114" spans="2:25" ht="15.75" hidden="1" outlineLevel="1" x14ac:dyDescent="0.3">
      <c r="B114" s="3"/>
      <c r="C114" s="3"/>
      <c r="D114" s="3"/>
      <c r="E114" s="3"/>
      <c r="F114" s="3"/>
      <c r="G114" s="3"/>
      <c r="H114" s="3"/>
      <c r="I114" s="3"/>
      <c r="J114" s="3"/>
      <c r="K114" s="3"/>
      <c r="L114" s="3" t="str">
        <f t="shared" si="7"/>
        <v/>
      </c>
      <c r="M114" s="9" t="e">
        <f t="shared" si="10"/>
        <v>#N/A</v>
      </c>
      <c r="N114" s="9" t="e">
        <f t="shared" si="10"/>
        <v>#N/A</v>
      </c>
      <c r="O114" s="9" t="e">
        <f t="shared" si="10"/>
        <v>#N/A</v>
      </c>
      <c r="P114" s="3" t="s">
        <v>164</v>
      </c>
      <c r="Q114" s="3" t="b">
        <v>0</v>
      </c>
      <c r="R114" s="3"/>
      <c r="S114" s="3"/>
      <c r="T114" s="8" t="str">
        <f>IF(X114,"Zusätzliche jährliche Kosten","")</f>
        <v/>
      </c>
      <c r="U114" s="55" t="e">
        <f>IF($X114,U75,NA())</f>
        <v>#N/A</v>
      </c>
      <c r="V114" s="55" t="e">
        <f t="shared" si="13"/>
        <v>#N/A</v>
      </c>
      <c r="W114" s="55" t="e">
        <f t="shared" si="13"/>
        <v>#N/A</v>
      </c>
      <c r="X114" s="361" t="b">
        <v>0</v>
      </c>
      <c r="Y114" s="3"/>
    </row>
    <row r="115" spans="2:25" ht="15.75" hidden="1" outlineLevel="1" x14ac:dyDescent="0.3">
      <c r="B115" s="3"/>
      <c r="C115" s="3"/>
      <c r="D115" s="3"/>
      <c r="E115" s="3"/>
      <c r="F115" s="3"/>
      <c r="G115" s="3"/>
      <c r="H115" s="3"/>
      <c r="I115" s="3"/>
      <c r="J115" s="3"/>
      <c r="K115" s="3"/>
      <c r="L115" s="3" t="str">
        <f t="shared" si="7"/>
        <v>Verpackungsmaterial</v>
      </c>
      <c r="M115" s="9">
        <f t="shared" si="10"/>
        <v>161.20000000000002</v>
      </c>
      <c r="N115" s="9">
        <f t="shared" si="10"/>
        <v>161.20000000000002</v>
      </c>
      <c r="O115" s="9">
        <f t="shared" si="10"/>
        <v>161.20000000000002</v>
      </c>
      <c r="P115" s="3" t="s">
        <v>164</v>
      </c>
      <c r="Q115" s="3" t="b">
        <v>1</v>
      </c>
      <c r="R115" s="3"/>
      <c r="S115" s="3"/>
      <c r="T115" s="59" t="str">
        <f>IF(X115,"Einmalige Kosten","")</f>
        <v/>
      </c>
      <c r="U115" s="55" t="e">
        <f>IF($X115,U76,NA())</f>
        <v>#N/A</v>
      </c>
      <c r="V115" s="55" t="e">
        <f t="shared" si="13"/>
        <v>#N/A</v>
      </c>
      <c r="W115" s="55" t="e">
        <f t="shared" si="13"/>
        <v>#N/A</v>
      </c>
      <c r="X115" s="361" t="b">
        <v>0</v>
      </c>
      <c r="Y115" s="3"/>
    </row>
    <row r="116" spans="2:25" ht="15" hidden="1" outlineLevel="1" thickBot="1" x14ac:dyDescent="0.3">
      <c r="B116" s="3"/>
      <c r="C116" s="3"/>
      <c r="D116" s="3"/>
      <c r="E116" s="3"/>
      <c r="F116" s="3"/>
      <c r="G116" s="3"/>
      <c r="H116" s="3"/>
      <c r="I116" s="3"/>
      <c r="J116" s="3"/>
      <c r="K116" s="3"/>
      <c r="L116" s="27" t="s">
        <v>70</v>
      </c>
      <c r="M116" s="28">
        <f>SUMIF($Q$105:$Q$115,"WAHR",M105:M115)</f>
        <v>10520.568560446896</v>
      </c>
      <c r="N116" s="28">
        <f t="shared" ref="N116:O116" si="14">SUMIF($Q$105:$Q$115,"WAHR",N105:N115)</f>
        <v>10509.161060446897</v>
      </c>
      <c r="O116" s="28">
        <f t="shared" si="14"/>
        <v>10509.161060446897</v>
      </c>
      <c r="P116" s="27" t="s">
        <v>165</v>
      </c>
      <c r="Q116" s="3"/>
      <c r="R116" s="3"/>
      <c r="S116" s="3"/>
      <c r="T116" s="57" t="str">
        <f>IF(X116,"CO2-Kosten","")</f>
        <v>CO2-Kosten</v>
      </c>
      <c r="U116" s="58">
        <f>IF($X$116,SUMIF($X$117:$X$119,"WAHR",U117:U119),NA())</f>
        <v>272843.09601517254</v>
      </c>
      <c r="V116" s="58">
        <f t="shared" ref="V116:W116" si="15">IF($X$116,SUMIF($X$117:$X$119,"WAHR",V117:V119),NA())</f>
        <v>477711.73532731039</v>
      </c>
      <c r="W116" s="58">
        <f t="shared" si="15"/>
        <v>849265.30724855175</v>
      </c>
      <c r="X116" s="361" t="b">
        <v>1</v>
      </c>
      <c r="Y116" s="3"/>
    </row>
    <row r="117" spans="2:25" ht="16.5" hidden="1" outlineLevel="1" thickTop="1" x14ac:dyDescent="0.3">
      <c r="B117" s="3"/>
      <c r="C117" s="3"/>
      <c r="D117" s="3"/>
      <c r="E117" s="3"/>
      <c r="F117" s="3"/>
      <c r="G117" s="3"/>
      <c r="H117" s="3"/>
      <c r="I117" s="3"/>
      <c r="J117" s="3"/>
      <c r="K117" s="3"/>
      <c r="L117" s="3"/>
      <c r="M117" s="3"/>
      <c r="N117" s="3"/>
      <c r="O117" s="3"/>
      <c r="P117" s="3"/>
      <c r="Q117" s="3"/>
      <c r="R117" s="3"/>
      <c r="S117" s="3"/>
      <c r="T117" s="31" t="s">
        <v>157</v>
      </c>
      <c r="U117" s="52">
        <f>IF($X117,U78,NA())</f>
        <v>2665.0220039999999</v>
      </c>
      <c r="V117" s="52">
        <f t="shared" ref="V117:W117" si="16">IF($X117,V78,NA())</f>
        <v>4797.0396071999994</v>
      </c>
      <c r="W117" s="52">
        <f t="shared" si="16"/>
        <v>8528.0704127999998</v>
      </c>
      <c r="X117" s="361" t="b">
        <v>1</v>
      </c>
      <c r="Y117" s="3"/>
    </row>
    <row r="118" spans="2:25" ht="15.75" hidden="1" outlineLevel="1" x14ac:dyDescent="0.3">
      <c r="B118" s="3"/>
      <c r="C118" s="3"/>
      <c r="D118" s="3"/>
      <c r="E118" s="3"/>
      <c r="F118" s="3"/>
      <c r="G118" s="3"/>
      <c r="H118" s="3"/>
      <c r="I118" s="3"/>
      <c r="J118" s="3"/>
      <c r="K118" s="3"/>
      <c r="L118" s="3"/>
      <c r="M118" s="3"/>
      <c r="N118" s="3"/>
      <c r="O118" s="3"/>
      <c r="P118" s="3"/>
      <c r="Q118" s="3"/>
      <c r="R118" s="3"/>
      <c r="S118" s="3"/>
      <c r="T118" s="31" t="s">
        <v>158</v>
      </c>
      <c r="U118" s="52">
        <f t="shared" ref="U118:W119" si="17">IF($X118,U79,NA())</f>
        <v>7162.5</v>
      </c>
      <c r="V118" s="52">
        <f t="shared" si="17"/>
        <v>0</v>
      </c>
      <c r="W118" s="52">
        <f t="shared" si="17"/>
        <v>0</v>
      </c>
      <c r="X118" s="361" t="b">
        <v>1</v>
      </c>
      <c r="Y118" s="3"/>
    </row>
    <row r="119" spans="2:25" ht="15.75" hidden="1" outlineLevel="1" x14ac:dyDescent="0.3">
      <c r="B119" s="3"/>
      <c r="C119" s="3"/>
      <c r="D119" s="3"/>
      <c r="E119" s="3"/>
      <c r="F119" s="3"/>
      <c r="G119" s="3"/>
      <c r="H119" s="3"/>
      <c r="I119" s="3"/>
      <c r="J119" s="3"/>
      <c r="K119" s="3"/>
      <c r="L119" s="3"/>
      <c r="M119" s="3"/>
      <c r="N119" s="3"/>
      <c r="O119" s="3"/>
      <c r="P119" s="3"/>
      <c r="Q119" s="3"/>
      <c r="R119" s="3"/>
      <c r="S119" s="3"/>
      <c r="T119" s="31" t="s">
        <v>159</v>
      </c>
      <c r="U119" s="52">
        <f t="shared" si="17"/>
        <v>263015.57401117252</v>
      </c>
      <c r="V119" s="52">
        <f t="shared" si="17"/>
        <v>472914.69572011038</v>
      </c>
      <c r="W119" s="52">
        <f t="shared" si="17"/>
        <v>840737.2368357518</v>
      </c>
      <c r="X119" s="361" t="b">
        <v>1</v>
      </c>
      <c r="Y119" s="3"/>
    </row>
    <row r="120" spans="2:25" ht="13.5" hidden="1" outlineLevel="1" thickBot="1" x14ac:dyDescent="0.25">
      <c r="B120" s="3"/>
      <c r="C120" s="3"/>
      <c r="D120" s="3"/>
      <c r="E120" s="3"/>
      <c r="F120" s="3"/>
      <c r="G120" s="3"/>
      <c r="H120" s="3"/>
      <c r="I120" s="3"/>
      <c r="J120" s="3"/>
      <c r="K120" s="3"/>
      <c r="L120" s="3"/>
      <c r="M120" s="3"/>
      <c r="N120" s="3"/>
      <c r="O120" s="3"/>
      <c r="P120" s="3"/>
      <c r="Q120" s="3"/>
      <c r="R120" s="3"/>
      <c r="S120" s="3"/>
      <c r="T120" s="27" t="s">
        <v>70</v>
      </c>
      <c r="U120" s="56">
        <f>IF($X$116,U116,0)+IF($X$115,U115,0)+IF($X$114,U114,0)+IF($X$113,U113,0)+U105</f>
        <v>445512.09601517254</v>
      </c>
      <c r="V120" s="56">
        <f t="shared" ref="V120:W120" si="18">IF($X$116,V116,0)+IF($X$115,V115,0)+IF($X$114,V114,0)+IF($X$113,V113,0)+V105</f>
        <v>652255.73532731039</v>
      </c>
      <c r="W120" s="56">
        <f t="shared" si="18"/>
        <v>1023809.3072485517</v>
      </c>
      <c r="X120" s="3"/>
      <c r="Y120" s="3"/>
    </row>
    <row r="121" spans="2:25" ht="13.5" hidden="1" outlineLevel="1" thickTop="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2:25" hidden="1" outlineLevel="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2:25" hidden="1" outlineLevel="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2:25" hidden="1" outlineLevel="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2:25" hidden="1" outlineLevel="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2:25" hidden="1" outlineLevel="1"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2:25" hidden="1" outlineLevel="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hidden="1" outlineLevel="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0" collapsed="1" x14ac:dyDescent="0.2"/>
    <row r="131" spans="2:20" ht="15.75" hidden="1" outlineLevel="1" x14ac:dyDescent="0.25">
      <c r="B131" s="22"/>
      <c r="C131" s="22" t="s">
        <v>117</v>
      </c>
      <c r="D131" s="17"/>
      <c r="E131" s="17"/>
      <c r="F131" s="17"/>
      <c r="G131" s="17"/>
      <c r="H131" s="17"/>
      <c r="I131" s="17"/>
      <c r="J131" s="17"/>
      <c r="K131" s="17"/>
      <c r="L131" s="17"/>
      <c r="N131" s="22" t="s">
        <v>120</v>
      </c>
      <c r="O131" s="17"/>
      <c r="P131" s="17"/>
      <c r="Q131" s="17"/>
      <c r="R131" s="17"/>
      <c r="S131" s="17"/>
      <c r="T131" s="17"/>
    </row>
    <row r="132" spans="2:20" ht="15" hidden="1" outlineLevel="1" x14ac:dyDescent="0.25">
      <c r="B132" s="64"/>
      <c r="C132" s="64">
        <v>2025</v>
      </c>
      <c r="D132" s="17"/>
      <c r="E132" s="17"/>
      <c r="F132" s="36" t="s">
        <v>27</v>
      </c>
      <c r="G132" s="36" t="s">
        <v>85</v>
      </c>
      <c r="H132" s="36" t="s">
        <v>29</v>
      </c>
      <c r="I132" s="17"/>
      <c r="J132" s="17"/>
      <c r="K132" s="17"/>
      <c r="L132" s="17"/>
      <c r="N132" s="64">
        <v>2025</v>
      </c>
      <c r="O132" s="17"/>
      <c r="P132" s="17"/>
      <c r="Q132" s="17"/>
      <c r="R132" s="17"/>
      <c r="S132" s="17"/>
      <c r="T132" s="17"/>
    </row>
    <row r="133" spans="2:20" hidden="1" outlineLevel="1" x14ac:dyDescent="0.2">
      <c r="B133" s="17"/>
      <c r="C133" s="17"/>
      <c r="D133" s="17" t="s">
        <v>245</v>
      </c>
      <c r="E133" s="306" t="str">
        <f>IF(NOT(ISBLANK($G$16)),$G$16,$E$16)</f>
        <v>Grünstrommix</v>
      </c>
      <c r="F133" s="307">
        <f>VLOOKUP(E133,D134:H137,3,FALSE)</f>
        <v>0</v>
      </c>
      <c r="G133" s="308">
        <f>VLOOKUP(E133,D134:H137,4,FALSE)</f>
        <v>0</v>
      </c>
      <c r="H133" s="308">
        <f>VLOOKUP(E133,D134:H137,5,FALSE)</f>
        <v>4.0790000000000001E-5</v>
      </c>
      <c r="I133" s="17"/>
      <c r="J133" s="17"/>
      <c r="K133" s="17"/>
      <c r="L133" s="17"/>
      <c r="N133" s="21"/>
      <c r="O133" s="17"/>
      <c r="P133" s="17"/>
      <c r="Q133" s="17"/>
      <c r="R133" s="17"/>
      <c r="S133" s="17"/>
      <c r="T133" s="17"/>
    </row>
    <row r="134" spans="2:20" hidden="1" outlineLevel="1" x14ac:dyDescent="0.2">
      <c r="B134" s="17"/>
      <c r="C134" s="17" t="s">
        <v>244</v>
      </c>
      <c r="D134" s="17" t="s">
        <v>242</v>
      </c>
      <c r="E134" s="30"/>
      <c r="F134" s="309">
        <v>0</v>
      </c>
      <c r="G134" s="310">
        <f>IF(NOT(ISBLANK('Eingabe EF'!AE60)),'Eingabe EF'!AE60,'Eingabe EF'!AC60)</f>
        <v>0</v>
      </c>
      <c r="H134" s="310">
        <f>IF(NOT(ISBLANK('Eingabe EF'!AI60)),'Eingabe EF'!AI60,'Eingabe EF'!AG60)</f>
        <v>4.0790000000000001E-5</v>
      </c>
      <c r="I134" s="17"/>
      <c r="J134" s="17"/>
      <c r="K134" s="17"/>
      <c r="L134" s="17"/>
      <c r="N134" s="21"/>
      <c r="O134" s="17"/>
      <c r="P134" s="17"/>
      <c r="Q134" s="17"/>
      <c r="R134" s="17"/>
      <c r="S134" s="17"/>
      <c r="T134" s="17"/>
    </row>
    <row r="135" spans="2:20" hidden="1" outlineLevel="1" x14ac:dyDescent="0.2">
      <c r="B135" s="17"/>
      <c r="C135" s="17" t="s">
        <v>244</v>
      </c>
      <c r="D135" s="17" t="s">
        <v>111</v>
      </c>
      <c r="E135" s="30"/>
      <c r="F135" s="309">
        <v>0</v>
      </c>
      <c r="G135" s="309">
        <f>IF(NOT(ISBLANK('Eingabe EF'!AE61)),'Eingabe EF'!AE61,'Eingabe EF'!AC61)</f>
        <v>0</v>
      </c>
      <c r="H135" s="310">
        <f>IF(NOT(ISBLANK('Eingabe EF'!AI61)),'Eingabe EF'!AI61,'Eingabe EF'!AG61)</f>
        <v>5.5713999999999995E-5</v>
      </c>
      <c r="I135" s="17"/>
      <c r="J135" s="17"/>
      <c r="K135" s="17"/>
      <c r="L135" s="17"/>
      <c r="N135" s="21"/>
      <c r="O135" s="17"/>
      <c r="P135" s="17"/>
      <c r="Q135" s="17"/>
      <c r="R135" s="17"/>
      <c r="S135" s="17"/>
      <c r="T135" s="17"/>
    </row>
    <row r="136" spans="2:20" hidden="1" outlineLevel="1" x14ac:dyDescent="0.2">
      <c r="B136" s="17"/>
      <c r="C136" s="17" t="s">
        <v>244</v>
      </c>
      <c r="D136" s="17" t="s">
        <v>112</v>
      </c>
      <c r="E136" s="30"/>
      <c r="F136" s="309">
        <v>0</v>
      </c>
      <c r="G136" s="309">
        <f>IF(NOT(ISBLANK('Eingabe EF'!AE62)),'Eingabe EF'!AE62,'Eingabe EF'!AC62)</f>
        <v>0</v>
      </c>
      <c r="H136" s="310">
        <f>IF(NOT(ISBLANK('Eingabe EF'!AI62)),'Eingabe EF'!AI62,'Eingabe EF'!AG62)</f>
        <v>1.5335600000000003E-5</v>
      </c>
      <c r="I136" s="17"/>
      <c r="J136" s="17"/>
      <c r="K136" s="17"/>
      <c r="L136" s="17"/>
      <c r="N136" s="21"/>
      <c r="O136" s="17"/>
      <c r="P136" s="17"/>
      <c r="Q136" s="17"/>
      <c r="R136" s="17"/>
      <c r="S136" s="17"/>
      <c r="T136" s="17"/>
    </row>
    <row r="137" spans="2:20" hidden="1" outlineLevel="1" x14ac:dyDescent="0.2">
      <c r="B137" s="17"/>
      <c r="C137" s="17" t="s">
        <v>244</v>
      </c>
      <c r="D137" s="17" t="s">
        <v>113</v>
      </c>
      <c r="E137" s="17"/>
      <c r="F137" s="38">
        <v>0</v>
      </c>
      <c r="G137" s="309">
        <f>IF(NOT(ISBLANK('Eingabe EF'!AE63)),'Eingabe EF'!AE63,'Eingabe EF'!AC63)</f>
        <v>0</v>
      </c>
      <c r="H137" s="310">
        <f>IF(NOT(ISBLANK('Eingabe EF'!AI63)),'Eingabe EF'!AI63,'Eingabe EF'!AG63)</f>
        <v>2.65E-6</v>
      </c>
      <c r="I137" s="17"/>
      <c r="J137" s="17"/>
      <c r="K137" s="17"/>
      <c r="L137" s="17"/>
      <c r="N137" s="17"/>
      <c r="O137" s="17"/>
      <c r="P137" s="17"/>
      <c r="Q137" s="17"/>
      <c r="R137" s="17"/>
      <c r="S137" s="17"/>
      <c r="T137" s="17"/>
    </row>
    <row r="138" spans="2:20" hidden="1" outlineLevel="1" x14ac:dyDescent="0.2">
      <c r="B138" s="17"/>
      <c r="C138" s="17"/>
      <c r="D138" s="17"/>
      <c r="E138" s="17"/>
      <c r="F138" s="20"/>
      <c r="G138" s="20"/>
      <c r="H138" s="20"/>
      <c r="I138" s="17"/>
      <c r="J138" s="17"/>
      <c r="K138" s="17"/>
      <c r="L138" s="17"/>
      <c r="N138" s="17"/>
      <c r="O138" s="17"/>
      <c r="P138" s="17"/>
      <c r="Q138" s="17"/>
      <c r="R138" s="17"/>
      <c r="S138" s="17"/>
      <c r="T138" s="17"/>
    </row>
    <row r="139" spans="2:20" ht="25.5" hidden="1" outlineLevel="1" x14ac:dyDescent="0.2">
      <c r="B139" s="17"/>
      <c r="C139" s="17"/>
      <c r="D139" s="17"/>
      <c r="E139" s="17"/>
      <c r="F139" s="36" t="s">
        <v>27</v>
      </c>
      <c r="G139" s="36" t="s">
        <v>85</v>
      </c>
      <c r="H139" s="36" t="s">
        <v>29</v>
      </c>
      <c r="I139" s="17"/>
      <c r="J139" s="40" t="s">
        <v>114</v>
      </c>
      <c r="K139" s="41" t="s">
        <v>40</v>
      </c>
      <c r="L139" s="17"/>
      <c r="N139" s="17"/>
      <c r="O139" s="17"/>
      <c r="P139" s="17"/>
      <c r="Q139" s="18"/>
      <c r="R139" s="18"/>
      <c r="S139" s="18"/>
      <c r="T139" s="18"/>
    </row>
    <row r="140" spans="2:20" ht="14.25" hidden="1" outlineLevel="1" x14ac:dyDescent="0.25">
      <c r="B140" s="76"/>
      <c r="C140" s="76" t="s">
        <v>191</v>
      </c>
      <c r="D140" s="76"/>
      <c r="E140" s="76"/>
      <c r="F140" s="77">
        <f>SUM(F142:F155)</f>
        <v>106.60088015999999</v>
      </c>
      <c r="G140" s="77">
        <f t="shared" ref="G140:H140" si="19">SUM(G142:G155)</f>
        <v>0</v>
      </c>
      <c r="H140" s="77">
        <f t="shared" si="19"/>
        <v>49.305472560000005</v>
      </c>
      <c r="I140" s="76"/>
      <c r="J140" s="77">
        <f>F140+G140</f>
        <v>106.60088015999999</v>
      </c>
      <c r="K140" s="77">
        <f>SUM(F140:H140)</f>
        <v>155.90635272</v>
      </c>
      <c r="L140" s="76" t="s">
        <v>198</v>
      </c>
      <c r="N140" s="17"/>
      <c r="O140" s="17"/>
      <c r="P140" s="17"/>
      <c r="Q140" s="18"/>
      <c r="R140" s="18"/>
      <c r="S140" s="18"/>
      <c r="T140" s="18"/>
    </row>
    <row r="141" spans="2:20" hidden="1" outlineLevel="1" x14ac:dyDescent="0.2">
      <c r="B141" s="17"/>
      <c r="C141" s="17" t="s">
        <v>148</v>
      </c>
      <c r="D141" s="17"/>
      <c r="E141" s="17"/>
      <c r="F141" s="17"/>
      <c r="G141" s="17"/>
      <c r="H141" s="17"/>
      <c r="I141" s="17"/>
      <c r="J141" s="17"/>
      <c r="K141" s="17"/>
      <c r="L141" s="17"/>
      <c r="N141" s="17" t="s">
        <v>148</v>
      </c>
      <c r="O141" s="17"/>
      <c r="P141" s="17"/>
      <c r="Q141" s="18"/>
      <c r="R141" s="18"/>
      <c r="S141" s="18"/>
      <c r="T141" s="18"/>
    </row>
    <row r="142" spans="2:20" ht="15.75" hidden="1" outlineLevel="1" x14ac:dyDescent="0.3">
      <c r="B142" s="302"/>
      <c r="C142" s="17"/>
      <c r="D142" s="17" t="s">
        <v>128</v>
      </c>
      <c r="E142" s="17"/>
      <c r="F142" s="38">
        <f>IF(NOT(ISBLANK('Referenz Pflasterwerk'!$I16)),'Referenz Pflasterwerk'!$I16,'Referenz Pflasterwerk'!$F16)*IF(NOT(ISBLANK('Eingabe EF'!$AA9)),'Eingabe EF'!$AA9,'Eingabe EF'!$Y9)</f>
        <v>1.6484399999999999</v>
      </c>
      <c r="G142" s="38">
        <f>IF(NOT(ISBLANK('Referenz Pflasterwerk'!$I16)),'Referenz Pflasterwerk'!$I16,'Referenz Pflasterwerk'!$F16)*IF(NOT(ISBLANK('Eingabe EF'!$AE9)),'Eingabe EF'!$AE9,'Eingabe EF'!$AC9)</f>
        <v>0</v>
      </c>
      <c r="H142" s="38">
        <f>IF(NOT(ISBLANK('Referenz Pflasterwerk'!$I16)),'Referenz Pflasterwerk'!$I16,'Referenz Pflasterwerk'!$F16)*IF(NOT(ISBLANK('Eingabe EF'!$AI9)),'Eingabe EF'!$AI9,'Eingabe EF'!$AG9)</f>
        <v>0.28215000000000001</v>
      </c>
      <c r="I142" s="17"/>
      <c r="J142" s="38">
        <f>F142+G142</f>
        <v>1.6484399999999999</v>
      </c>
      <c r="K142" s="38">
        <f>SUM(F142:H142)</f>
        <v>1.93059</v>
      </c>
      <c r="L142" s="17" t="s">
        <v>199</v>
      </c>
      <c r="N142" s="302"/>
      <c r="O142" s="17" t="s">
        <v>128</v>
      </c>
      <c r="P142" s="17"/>
      <c r="Q142" s="19"/>
      <c r="R142" s="20"/>
      <c r="S142" s="42">
        <f>IF(NOT(ISBLANK('Referenz Pflasterwerk'!$I16)),'Referenz Pflasterwerk'!$I16,'Referenz Pflasterwerk'!$F16)/1000*IF(NOT(ISBLANK('Eingabe Preise'!$K10)),'Eingabe Preise'!$K10,'Eingabe Preise'!$I10)</f>
        <v>549</v>
      </c>
      <c r="T142" s="20" t="s">
        <v>109</v>
      </c>
    </row>
    <row r="143" spans="2:20" ht="15.75" hidden="1" outlineLevel="1" x14ac:dyDescent="0.3">
      <c r="B143" s="302"/>
      <c r="C143" s="17"/>
      <c r="D143" s="17" t="s">
        <v>166</v>
      </c>
      <c r="E143" s="17"/>
      <c r="F143" s="38">
        <f>IF(NOT(ISBLANK('Referenz Pflasterwerk'!$I17)),'Referenz Pflasterwerk'!$I17,'Referenz Pflasterwerk'!$F17)*IF(NOT(ISBLANK('Eingabe EF'!$AA10)),'Eingabe EF'!$AA10,'Eingabe EF'!$Y10)</f>
        <v>0.53351999999999999</v>
      </c>
      <c r="G143" s="38">
        <f>IF(NOT(ISBLANK('Referenz Pflasterwerk'!$I17)),'Referenz Pflasterwerk'!$I17,'Referenz Pflasterwerk'!$F17)*IF(NOT(ISBLANK('Eingabe EF'!$AE10)),'Eingabe EF'!$AE10,'Eingabe EF'!$AC10)</f>
        <v>0</v>
      </c>
      <c r="H143" s="38">
        <f>IF(NOT(ISBLANK('Referenz Pflasterwerk'!$I17)),'Referenz Pflasterwerk'!$I17,'Referenz Pflasterwerk'!$F17)*IF(NOT(ISBLANK('Eingabe EF'!$AI10)),'Eingabe EF'!$AI10,'Eingabe EF'!$AG10)</f>
        <v>7.9152E-2</v>
      </c>
      <c r="I143" s="17"/>
      <c r="J143" s="38">
        <f>F143+G143</f>
        <v>0.53351999999999999</v>
      </c>
      <c r="K143" s="38">
        <f>SUM(F143:H143)</f>
        <v>0.61267199999999999</v>
      </c>
      <c r="L143" s="17" t="s">
        <v>199</v>
      </c>
      <c r="N143" s="302"/>
      <c r="O143" s="17" t="s">
        <v>166</v>
      </c>
      <c r="P143" s="17"/>
      <c r="Q143" s="20"/>
      <c r="R143" s="20"/>
      <c r="S143" s="42">
        <f>IF(NOT(ISBLANK('Referenz Pflasterwerk'!$I17)),'Referenz Pflasterwerk'!$I17,'Referenz Pflasterwerk'!$F17)/1000*IF(NOT(ISBLANK('Eingabe Preise'!$K11)),'Eingabe Preise'!$K11,'Eingabe Preise'!$I11)</f>
        <v>92</v>
      </c>
      <c r="T143" s="20" t="s">
        <v>109</v>
      </c>
    </row>
    <row r="144" spans="2:20" ht="15.75" hidden="1" outlineLevel="1" x14ac:dyDescent="0.3">
      <c r="B144" s="302"/>
      <c r="C144" s="17"/>
      <c r="D144" s="17" t="s">
        <v>167</v>
      </c>
      <c r="E144" s="17"/>
      <c r="F144" s="38">
        <f>IF(NOT(ISBLANK('Referenz Pflasterwerk'!$I18)),'Referenz Pflasterwerk'!$I18,'Referenz Pflasterwerk'!$F18)*F133</f>
        <v>0</v>
      </c>
      <c r="G144" s="38">
        <f>IF(NOT(ISBLANK('Referenz Pflasterwerk'!$I18)),'Referenz Pflasterwerk'!$I18,'Referenz Pflasterwerk'!$F18)*G133</f>
        <v>0</v>
      </c>
      <c r="H144" s="38">
        <f>IF(NOT(ISBLANK('Referenz Pflasterwerk'!$I18)),'Referenz Pflasterwerk'!$I18,'Referenz Pflasterwerk'!$F18)*H133</f>
        <v>6.1185</v>
      </c>
      <c r="I144" s="17"/>
      <c r="J144" s="38">
        <f>F144+G144</f>
        <v>0</v>
      </c>
      <c r="K144" s="38">
        <f>SUM(F144:H144)</f>
        <v>6.1185</v>
      </c>
      <c r="L144" s="17" t="s">
        <v>199</v>
      </c>
      <c r="N144" s="302"/>
      <c r="O144" s="17" t="s">
        <v>167</v>
      </c>
      <c r="P144" s="17"/>
      <c r="Q144" s="20"/>
      <c r="R144" s="20"/>
      <c r="S144" s="42">
        <f>IF(NOT(ISBLANK('Referenz Pflasterwerk'!$I18)),'Referenz Pflasterwerk'!$I18,'Referenz Pflasterwerk'!$F18)/1000*IF(NOT(ISBLANK('Eingabe Preise'!$K15)),'Eingabe Preise'!$K15,'Eingabe Preise'!$I15)</f>
        <v>26175</v>
      </c>
      <c r="T144" s="20" t="s">
        <v>109</v>
      </c>
    </row>
    <row r="145" spans="2:21" ht="15.75" hidden="1" outlineLevel="1" x14ac:dyDescent="0.3">
      <c r="B145" s="302"/>
      <c r="C145" s="17"/>
      <c r="D145" s="17" t="s">
        <v>129</v>
      </c>
      <c r="E145" s="17"/>
      <c r="F145" s="44">
        <f>IF(NOT(ISBLANK('Referenz Pflasterwerk'!$I19)),'Referenz Pflasterwerk'!$I19,'Referenz Pflasterwerk'!$F19)*IF(NOT(ISBLANK('Eingabe EF'!$AA12)),'Eingabe EF'!$AA12,0)</f>
        <v>0</v>
      </c>
      <c r="G145" s="44">
        <f>IF(NOT(ISBLANK('Referenz Pflasterwerk'!$I19)),'Referenz Pflasterwerk'!$I19,'Referenz Pflasterwerk'!$F19)*IF(NOT(ISBLANK('Eingabe EF'!$AE12)),'Eingabe EF'!$AE12,0)</f>
        <v>0</v>
      </c>
      <c r="H145" s="44">
        <f>IF(NOT(ISBLANK('Referenz Pflasterwerk'!$I19)),'Referenz Pflasterwerk'!$I19,'Referenz Pflasterwerk'!$F19)*IF(NOT(ISBLANK('Eingabe EF'!$AI12)),'Eingabe EF'!$AI12,0)</f>
        <v>0</v>
      </c>
      <c r="I145" s="17"/>
      <c r="J145" s="38">
        <f>F145+G145</f>
        <v>0</v>
      </c>
      <c r="K145" s="38">
        <f>SUM(F145:H145)</f>
        <v>0</v>
      </c>
      <c r="L145" s="17" t="s">
        <v>199</v>
      </c>
      <c r="N145" s="302"/>
      <c r="O145" s="17" t="s">
        <v>129</v>
      </c>
      <c r="P145" s="17"/>
      <c r="Q145" s="20"/>
      <c r="R145" s="20"/>
      <c r="S145" s="42">
        <f>IF(NOT(ISBLANK('Referenz Pflasterwerk'!$I19)),'Referenz Pflasterwerk'!$I19,'Referenz Pflasterwerk'!$F19)/1000*IF(NOT(ISBLANK('Eingabe Preise'!$K16)),'Eingabe Preise'!$K16,0)</f>
        <v>0</v>
      </c>
      <c r="T145" s="20" t="s">
        <v>109</v>
      </c>
    </row>
    <row r="146" spans="2:21" hidden="1" outlineLevel="1" x14ac:dyDescent="0.2">
      <c r="B146" s="17"/>
      <c r="C146" s="17" t="s">
        <v>149</v>
      </c>
      <c r="D146" s="17"/>
      <c r="E146" s="17"/>
      <c r="F146" s="20"/>
      <c r="G146" s="20"/>
      <c r="H146" s="20"/>
      <c r="I146" s="17"/>
      <c r="J146" s="17"/>
      <c r="K146" s="17"/>
      <c r="L146" s="17"/>
      <c r="N146" s="17" t="s">
        <v>149</v>
      </c>
      <c r="O146" s="17"/>
      <c r="P146" s="17"/>
      <c r="Q146" s="20"/>
      <c r="R146" s="20"/>
      <c r="S146" s="20"/>
      <c r="T146" s="20"/>
    </row>
    <row r="147" spans="2:21" ht="15.75" hidden="1" outlineLevel="1" x14ac:dyDescent="0.3">
      <c r="B147" s="17"/>
      <c r="C147" s="17"/>
      <c r="D147" s="17" t="s">
        <v>32</v>
      </c>
      <c r="E147" s="17"/>
      <c r="F147" s="38">
        <f>IF(NOT(ISBLANK('Referenz Pflasterwerk'!$I21)),'Referenz Pflasterwerk'!$I21,'Referenz Pflasterwerk'!$F21)*IF(NOT(ISBLANK('Eingabe EF'!$AA9)),'Eingabe EF'!$AA9,'Eingabe EF'!$Y9)</f>
        <v>6.5937599999999996</v>
      </c>
      <c r="G147" s="38">
        <f>IF(NOT(ISBLANK('Referenz Pflasterwerk'!$I21)),'Referenz Pflasterwerk'!$I21,'Referenz Pflasterwerk'!$F21)*IF(NOT(ISBLANK('Eingabe EF'!$AE9)),'Eingabe EF'!$AE9,'Eingabe EF'!$AC9)</f>
        <v>0</v>
      </c>
      <c r="H147" s="38">
        <f>IF(NOT(ISBLANK('Referenz Pflasterwerk'!$I21)),'Referenz Pflasterwerk'!$I21,'Referenz Pflasterwerk'!$F21)*IF(NOT(ISBLANK('Eingabe EF'!$AG9)),'Eingabe EF'!$AG9,'Eingabe EF'!$AIC9)</f>
        <v>1.1286</v>
      </c>
      <c r="I147" s="17"/>
      <c r="J147" s="38">
        <f t="shared" ref="J147:J148" si="20">F147+G147</f>
        <v>6.5937599999999996</v>
      </c>
      <c r="K147" s="38">
        <f t="shared" ref="K147:K158" si="21">SUM(F147:H147)</f>
        <v>7.7223600000000001</v>
      </c>
      <c r="L147" s="17" t="s">
        <v>199</v>
      </c>
      <c r="M147" s="43"/>
      <c r="N147" s="17"/>
      <c r="O147" s="17" t="s">
        <v>32</v>
      </c>
      <c r="P147" s="17"/>
      <c r="Q147" s="20"/>
      <c r="R147" s="20"/>
      <c r="S147" s="42">
        <f>IF(NOT(ISBLANK('Referenz Pflasterwerk'!$I21)),'Referenz Pflasterwerk'!$I21,'Referenz Pflasterwerk'!$F21)/1000*IF(NOT(ISBLANK('Eingabe Preise'!$K10)),'Eingabe Preise'!$K10,'Eingabe Preise'!$I10)</f>
        <v>2196</v>
      </c>
      <c r="T147" s="20" t="s">
        <v>109</v>
      </c>
    </row>
    <row r="148" spans="2:21" ht="15.75" hidden="1" outlineLevel="1" x14ac:dyDescent="0.3">
      <c r="B148" s="17"/>
      <c r="C148" s="17"/>
      <c r="D148" s="17" t="s">
        <v>33</v>
      </c>
      <c r="E148" s="17"/>
      <c r="F148" s="38">
        <f>IF(NOT(ISBLANK('Referenz Pflasterwerk'!$I22)),'Referenz Pflasterwerk'!$I22,'Referenz Pflasterwerk'!$F22)*IF(NOT(ISBLANK('Eingabe EF'!$AA10)),'Eingabe EF'!$AA10,'Eingabe EF'!$Y10)</f>
        <v>2.13408</v>
      </c>
      <c r="G148" s="38">
        <f>IF(NOT(ISBLANK('Referenz Pflasterwerk'!$I22)),'Referenz Pflasterwerk'!$I22,'Referenz Pflasterwerk'!$F22)*IF(NOT(ISBLANK('Eingabe EF'!$AE10)),'Eingabe EF'!$AE10,'Eingabe EF'!$AC10)</f>
        <v>0</v>
      </c>
      <c r="H148" s="38">
        <f>IF(NOT(ISBLANK('Referenz Pflasterwerk'!$I22)),'Referenz Pflasterwerk'!$I22,'Referenz Pflasterwerk'!$F22)*IF(NOT(ISBLANK('Eingabe EF'!$AG10)),'Eingabe EF'!$AG10,'Eingabe EF'!$AIC10)</f>
        <v>0.316608</v>
      </c>
      <c r="I148" s="17"/>
      <c r="J148" s="38">
        <f t="shared" si="20"/>
        <v>2.13408</v>
      </c>
      <c r="K148" s="38">
        <f t="shared" si="21"/>
        <v>2.450688</v>
      </c>
      <c r="L148" s="17" t="s">
        <v>199</v>
      </c>
      <c r="M148" s="43"/>
      <c r="N148" s="17"/>
      <c r="O148" s="17" t="s">
        <v>33</v>
      </c>
      <c r="P148" s="17"/>
      <c r="Q148" s="20"/>
      <c r="R148" s="20"/>
      <c r="S148" s="42">
        <f>IF(NOT(ISBLANK('Referenz Pflasterwerk'!$I22)),'Referenz Pflasterwerk'!$I22,'Referenz Pflasterwerk'!$F22)/1000*IF(NOT(ISBLANK('Eingabe Preise'!$K11)),'Eingabe Preise'!$K11,'Eingabe Preise'!$I11)</f>
        <v>368</v>
      </c>
      <c r="T148" s="20" t="s">
        <v>109</v>
      </c>
    </row>
    <row r="149" spans="2:21" hidden="1" outlineLevel="1" x14ac:dyDescent="0.2">
      <c r="B149" s="17"/>
      <c r="C149" s="17" t="s">
        <v>150</v>
      </c>
      <c r="D149" s="17"/>
      <c r="E149" s="17"/>
      <c r="F149" s="20"/>
      <c r="G149" s="20"/>
      <c r="H149" s="20"/>
      <c r="I149" s="17"/>
      <c r="J149" s="17"/>
      <c r="K149" s="17"/>
      <c r="L149" s="17"/>
      <c r="N149" s="17" t="s">
        <v>150</v>
      </c>
      <c r="O149" s="17"/>
      <c r="P149" s="17"/>
      <c r="Q149" s="20"/>
      <c r="R149" s="20"/>
      <c r="S149" s="20"/>
      <c r="T149" s="20"/>
    </row>
    <row r="150" spans="2:21" ht="15.75" hidden="1" outlineLevel="1" x14ac:dyDescent="0.3">
      <c r="B150" s="302"/>
      <c r="C150" s="17"/>
      <c r="D150" s="17" t="s">
        <v>152</v>
      </c>
      <c r="E150" s="17"/>
      <c r="F150" s="38">
        <f>IF(NOT(ISBLANK('Referenz Pflasterwerk'!$I24)),'Referenz Pflasterwerk'!$I24,'Referenz Pflasterwerk'!$F24)*F133</f>
        <v>0</v>
      </c>
      <c r="G150" s="38">
        <f>IF(NOT(ISBLANK('Referenz Pflasterwerk'!$I24)),'Referenz Pflasterwerk'!$I24,'Referenz Pflasterwerk'!$F24)*G133</f>
        <v>0</v>
      </c>
      <c r="H150" s="38">
        <f>IF(NOT(ISBLANK('Referenz Pflasterwerk'!$I24)),'Referenz Pflasterwerk'!$I24,'Referenz Pflasterwerk'!$F24)*H133</f>
        <v>24.474</v>
      </c>
      <c r="I150" s="17"/>
      <c r="J150" s="38">
        <f t="shared" ref="J150:J158" si="22">F150+G150</f>
        <v>0</v>
      </c>
      <c r="K150" s="38">
        <f t="shared" si="21"/>
        <v>24.474</v>
      </c>
      <c r="L150" s="17" t="s">
        <v>199</v>
      </c>
      <c r="M150" s="43"/>
      <c r="N150" s="302"/>
      <c r="O150" s="17" t="s">
        <v>168</v>
      </c>
      <c r="P150" s="17"/>
      <c r="Q150" s="20"/>
      <c r="R150" s="20"/>
      <c r="S150" s="42">
        <f>IF(NOT(ISBLANK('Referenz Pflasterwerk'!$I24)),'Referenz Pflasterwerk'!$I24,'Referenz Pflasterwerk'!$F24)/1000*IF(NOT(ISBLANK('Eingabe Preise'!$K15)),'Eingabe Preise'!$K15,'Eingabe Preise'!$I15)</f>
        <v>104700</v>
      </c>
      <c r="T150" s="20" t="s">
        <v>109</v>
      </c>
    </row>
    <row r="151" spans="2:21" ht="15.75" hidden="1" outlineLevel="1" x14ac:dyDescent="0.3">
      <c r="B151" s="17"/>
      <c r="C151" s="17"/>
      <c r="D151" s="17" t="s">
        <v>125</v>
      </c>
      <c r="E151" s="17"/>
      <c r="F151" s="38">
        <f>IF(NOT(ISBLANK('Referenz Pflasterwerk'!$I25)),'Referenz Pflasterwerk'!$I25,'Referenz Pflasterwerk'!$F25)*IF(NOT(ISBLANK('Eingabe EF'!$AA13)),'Eingabe EF'!$AA13,'Eingabe EF'!$Y13)</f>
        <v>0</v>
      </c>
      <c r="G151" s="38">
        <f>IF(NOT(ISBLANK('Referenz Pflasterwerk'!$I25)),'Referenz Pflasterwerk'!$I25,'Referenz Pflasterwerk'!$F25)*IF(NOT(ISBLANK('Eingabe EF'!$AE13)),'Eingabe EF'!$AE13,'Eingabe EF'!$AC13)</f>
        <v>0</v>
      </c>
      <c r="H151" s="38">
        <f>IF(NOT(ISBLANK('Referenz Pflasterwerk'!$I25)),'Referenz Pflasterwerk'!$I25,'Referenz Pflasterwerk'!$F25)*IF(NOT(ISBLANK('Eingabe EF'!$AI13)),'Eingabe EF'!$AI13,'Eingabe EF'!$AG13)</f>
        <v>0</v>
      </c>
      <c r="I151" s="17"/>
      <c r="J151" s="38">
        <f t="shared" si="22"/>
        <v>0</v>
      </c>
      <c r="K151" s="38">
        <f t="shared" si="21"/>
        <v>0</v>
      </c>
      <c r="L151" s="17" t="s">
        <v>199</v>
      </c>
      <c r="M151" s="43"/>
      <c r="N151" s="17"/>
      <c r="O151" s="17" t="s">
        <v>125</v>
      </c>
      <c r="P151" s="17"/>
      <c r="Q151" s="20"/>
      <c r="R151" s="20"/>
      <c r="S151" s="42">
        <f>IF(NOT(ISBLANK('Referenz Pflasterwerk'!$I25)),'Referenz Pflasterwerk'!$I25,'Referenz Pflasterwerk'!$F25)/1000*IF(NOT(ISBLANK('Eingabe Preise'!$K13)),'Eingabe Preise'!$K13,'Eingabe Preise'!$I13)</f>
        <v>0</v>
      </c>
      <c r="T151" s="20" t="s">
        <v>109</v>
      </c>
    </row>
    <row r="152" spans="2:21" ht="15.75" hidden="1" outlineLevel="1" x14ac:dyDescent="0.3">
      <c r="B152" s="17"/>
      <c r="C152" s="17"/>
      <c r="D152" s="17" t="s">
        <v>151</v>
      </c>
      <c r="E152" s="17"/>
      <c r="F152" s="38">
        <f>IF(NOT(ISBLANK('Referenz Pflasterwerk'!$I26)),'Referenz Pflasterwerk'!$I26,'Referenz Pflasterwerk'!$F26)*IF(NOT(ISBLANK('Eingabe EF'!$AA14)),'Eingabe EF'!$AA14,0)</f>
        <v>0</v>
      </c>
      <c r="G152" s="38">
        <f>IF(NOT(ISBLANK('Referenz Pflasterwerk'!$I26)),'Referenz Pflasterwerk'!$I26,'Referenz Pflasterwerk'!$F26)*IF(NOT(ISBLANK('Eingabe EF'!$AE14)),'Eingabe EF'!$AE14,0)</f>
        <v>0</v>
      </c>
      <c r="H152" s="38">
        <f>IF(NOT(ISBLANK('Referenz Pflasterwerk'!$I26)),'Referenz Pflasterwerk'!$I26,'Referenz Pflasterwerk'!$F26)*IF(NOT(ISBLANK('Eingabe EF'!$AI14)),'Eingabe EF'!$AI14,0)</f>
        <v>0</v>
      </c>
      <c r="I152" s="17"/>
      <c r="J152" s="38">
        <f t="shared" si="22"/>
        <v>0</v>
      </c>
      <c r="K152" s="38">
        <f t="shared" si="21"/>
        <v>0</v>
      </c>
      <c r="L152" s="17" t="s">
        <v>199</v>
      </c>
      <c r="M152" s="43"/>
      <c r="N152" s="17"/>
      <c r="O152" s="17" t="s">
        <v>151</v>
      </c>
      <c r="P152" s="17"/>
      <c r="Q152" s="30"/>
      <c r="R152" s="17"/>
      <c r="S152" s="42">
        <f>IF(NOT(ISBLANK('Referenz Pflasterwerk'!$I26)),'Referenz Pflasterwerk'!$I26,'Referenz Pflasterwerk'!$F26)/1000*IF(NOT(ISBLANK('Eingabe Preise'!$K17)),'Eingabe Preise'!$K17,0)</f>
        <v>0</v>
      </c>
      <c r="T152" s="20" t="s">
        <v>109</v>
      </c>
    </row>
    <row r="153" spans="2:21" hidden="1" outlineLevel="1" x14ac:dyDescent="0.2">
      <c r="B153" s="17"/>
      <c r="C153" s="17"/>
      <c r="D153" s="17"/>
      <c r="E153" s="17"/>
      <c r="F153" s="20"/>
      <c r="G153" s="20"/>
      <c r="H153" s="20"/>
      <c r="I153" s="17"/>
      <c r="J153" s="17"/>
      <c r="K153" s="17"/>
      <c r="L153" s="17"/>
      <c r="N153" s="17"/>
      <c r="O153" s="17"/>
      <c r="P153" s="17"/>
      <c r="Q153" s="30"/>
      <c r="R153" s="17"/>
      <c r="S153" s="17"/>
      <c r="T153" s="17"/>
    </row>
    <row r="154" spans="2:21" ht="15.75" hidden="1" outlineLevel="1" x14ac:dyDescent="0.3">
      <c r="B154" s="17"/>
      <c r="C154" s="17" t="s">
        <v>78</v>
      </c>
      <c r="D154" s="17" t="s">
        <v>35</v>
      </c>
      <c r="E154" s="17"/>
      <c r="F154" s="38">
        <f>IF(NOT(ISBLANK('Referenz Pflasterwerk'!$I28)),'Referenz Pflasterwerk'!$I28,'Referenz Pflasterwerk'!$F28)*IF(NOT(ISBLANK('Eingabe EF'!$AA15)),'Eingabe EF'!$AA15,'Eingabe EF'!$Y15)</f>
        <v>85.058737919999984</v>
      </c>
      <c r="G154" s="38">
        <f>IF(NOT(ISBLANK('Referenz Pflasterwerk'!$I28)),'Referenz Pflasterwerk'!$I28,'Referenz Pflasterwerk'!$F28)*IF(NOT(ISBLANK('Eingabe EF'!$AE15)),'Eingabe EF'!$AE15,'Eingabe EF'!$AC15)</f>
        <v>0</v>
      </c>
      <c r="H154" s="38">
        <f>IF(NOT(ISBLANK('Referenz Pflasterwerk'!$I28)),'Referenz Pflasterwerk'!$I28,'Referenz Pflasterwerk'!$F28)*IF(NOT(ISBLANK('Eingabe EF'!$AI15)),'Eingabe EF'!$AI15,'Eingabe EF'!$AG15)</f>
        <v>15.027966720000002</v>
      </c>
      <c r="I154" s="17"/>
      <c r="J154" s="38">
        <f t="shared" si="22"/>
        <v>85.058737919999984</v>
      </c>
      <c r="K154" s="38">
        <f t="shared" si="21"/>
        <v>100.08670463999999</v>
      </c>
      <c r="L154" s="17" t="s">
        <v>199</v>
      </c>
      <c r="M154" s="43"/>
      <c r="N154" s="17"/>
      <c r="O154" s="17" t="s">
        <v>35</v>
      </c>
      <c r="P154" s="17" t="s">
        <v>78</v>
      </c>
      <c r="Q154" s="30"/>
      <c r="R154" s="17"/>
      <c r="S154" s="42">
        <f>IF(NOT(ISBLANK('Referenz Pflasterwerk'!$I28)),'Referenz Pflasterwerk'!$I28,'Referenz Pflasterwerk'!$F28)*IF(NOT(ISBLANK('Eingabe Preise'!$K14)),'Eingabe Preise'!$K14,'Eingabe Preise'!$I14)</f>
        <v>35968</v>
      </c>
      <c r="T154" s="20" t="s">
        <v>109</v>
      </c>
    </row>
    <row r="155" spans="2:21" ht="15.75" hidden="1" outlineLevel="1" x14ac:dyDescent="0.3">
      <c r="B155" s="17"/>
      <c r="C155" s="17" t="s">
        <v>77</v>
      </c>
      <c r="D155" s="17" t="s">
        <v>35</v>
      </c>
      <c r="E155" s="17"/>
      <c r="F155" s="38">
        <f>IF(NOT(ISBLANK('Referenz Pflasterwerk'!$I29)),'Referenz Pflasterwerk'!$I29,'Referenz Pflasterwerk'!$F29)*IF(NOT(ISBLANK('Eingabe EF'!$AA15)),'Eingabe EF'!$AA15,'Eingabe EF'!$Y15)</f>
        <v>10.632342239999998</v>
      </c>
      <c r="G155" s="38">
        <f>IF(NOT(ISBLANK('Referenz Pflasterwerk'!$I29)),'Referenz Pflasterwerk'!$I29,'Referenz Pflasterwerk'!$F29)*IF(NOT(ISBLANK('Eingabe EF'!$AE15)),'Eingabe EF'!$AE15,'Eingabe EF'!$AC15)</f>
        <v>0</v>
      </c>
      <c r="H155" s="38">
        <f>IF(NOT(ISBLANK('Referenz Pflasterwerk'!$I29)),'Referenz Pflasterwerk'!$I29,'Referenz Pflasterwerk'!$F29)*IF(NOT(ISBLANK('Eingabe EF'!$AI15)),'Eingabe EF'!$AI15,'Eingabe EF'!$AG15)</f>
        <v>1.8784958400000002</v>
      </c>
      <c r="I155" s="17"/>
      <c r="J155" s="38">
        <f t="shared" si="22"/>
        <v>10.632342239999998</v>
      </c>
      <c r="K155" s="38">
        <f t="shared" si="21"/>
        <v>12.510838079999999</v>
      </c>
      <c r="L155" s="17" t="s">
        <v>199</v>
      </c>
      <c r="M155" s="43"/>
      <c r="N155" s="17"/>
      <c r="O155" s="17" t="s">
        <v>35</v>
      </c>
      <c r="P155" s="17" t="s">
        <v>77</v>
      </c>
      <c r="Q155" s="30"/>
      <c r="R155" s="17"/>
      <c r="S155" s="42">
        <f>IF(NOT(ISBLANK('Referenz Pflasterwerk'!$I29)),'Referenz Pflasterwerk'!$I29,'Referenz Pflasterwerk'!$F29)*IF(NOT(ISBLANK('Eingabe Preise'!$K14)),'Eingabe Preise'!$K14,'Eingabe Preise'!$I14)</f>
        <v>4496</v>
      </c>
      <c r="T155" s="20" t="s">
        <v>109</v>
      </c>
    </row>
    <row r="156" spans="2:21" s="72" customFormat="1" ht="14.25" hidden="1" outlineLevel="1" x14ac:dyDescent="0.25">
      <c r="B156" s="69"/>
      <c r="C156" s="69" t="s">
        <v>190</v>
      </c>
      <c r="D156" s="69"/>
      <c r="E156" s="69"/>
      <c r="F156" s="71">
        <f>F157+F158</f>
        <v>0</v>
      </c>
      <c r="G156" s="71">
        <f t="shared" ref="G156:H156" si="23">G157+G158</f>
        <v>0</v>
      </c>
      <c r="H156" s="71">
        <f t="shared" si="23"/>
        <v>578.62626120000004</v>
      </c>
      <c r="I156" s="69"/>
      <c r="J156" s="71">
        <f t="shared" si="22"/>
        <v>0</v>
      </c>
      <c r="K156" s="71">
        <f t="shared" si="21"/>
        <v>578.62626120000004</v>
      </c>
      <c r="L156" s="76" t="s">
        <v>198</v>
      </c>
      <c r="N156" s="21"/>
      <c r="O156" s="21"/>
      <c r="P156" s="21"/>
      <c r="Q156" s="73"/>
      <c r="R156" s="21"/>
      <c r="S156" s="21"/>
      <c r="T156" s="21"/>
      <c r="U156" s="6"/>
    </row>
    <row r="157" spans="2:21" ht="15.75" hidden="1" outlineLevel="1" x14ac:dyDescent="0.3">
      <c r="B157" s="17"/>
      <c r="C157" s="17"/>
      <c r="D157" s="17" t="s">
        <v>46</v>
      </c>
      <c r="E157" s="17"/>
      <c r="F157" s="38">
        <f>IF(NOT(ISBLANK('Referenz Pflasterwerk'!$I32)),'Referenz Pflasterwerk'!$I32,'Referenz Pflasterwerk'!$F32)*IF(NOT(ISBLANK('Eingabe EF'!$AA17)),'Eingabe EF'!$AA17,'Eingabe EF'!$Y17)</f>
        <v>0</v>
      </c>
      <c r="G157" s="38">
        <f>IF(NOT(ISBLANK('Referenz Pflasterwerk'!$I32)),'Referenz Pflasterwerk'!$I32,'Referenz Pflasterwerk'!$F32)*IF(NOT(ISBLANK('Eingabe EF'!$AE17)),'Eingabe EF'!$AE17,'Eingabe EF'!$AC17)</f>
        <v>0</v>
      </c>
      <c r="H157" s="38">
        <f>IF(NOT(ISBLANK('Referenz Pflasterwerk'!$I32)),'Referenz Pflasterwerk'!$I32,'Referenz Pflasterwerk'!$F32)*IF(NOT(ISBLANK('Eingabe EF'!$AI17)),'Eingabe EF'!$AI17,'Eingabe EF'!$AG17)</f>
        <v>250.21676159999998</v>
      </c>
      <c r="I157" s="17"/>
      <c r="J157" s="38">
        <f t="shared" si="22"/>
        <v>0</v>
      </c>
      <c r="K157" s="38">
        <f t="shared" si="21"/>
        <v>250.21676159999998</v>
      </c>
      <c r="L157" s="17" t="s">
        <v>199</v>
      </c>
      <c r="M157" s="43"/>
      <c r="N157" s="17"/>
      <c r="O157" s="17"/>
      <c r="P157" s="17"/>
      <c r="Q157" s="30"/>
      <c r="R157" s="17"/>
      <c r="S157" s="17"/>
      <c r="T157" s="17"/>
    </row>
    <row r="158" spans="2:21" ht="15.75" hidden="1" outlineLevel="1" x14ac:dyDescent="0.3">
      <c r="B158" s="17"/>
      <c r="C158" s="17"/>
      <c r="D158" s="17" t="s">
        <v>47</v>
      </c>
      <c r="E158" s="17"/>
      <c r="F158" s="38">
        <f>IF(NOT(ISBLANK('Referenz Pflasterwerk'!$I33)),'Referenz Pflasterwerk'!$I33,'Referenz Pflasterwerk'!$F33)*IF(NOT(ISBLANK('Eingabe EF'!$AA18)),'Eingabe EF'!$AA18,'Eingabe EF'!$Y18)</f>
        <v>0</v>
      </c>
      <c r="G158" s="38">
        <f>IF(NOT(ISBLANK('Referenz Pflasterwerk'!$I33)),'Referenz Pflasterwerk'!$I33,'Referenz Pflasterwerk'!$F33)*IF(NOT(ISBLANK('Eingabe EF'!$AE18)),'Eingabe EF'!$AE18,'Eingabe EF'!$AC18)</f>
        <v>0</v>
      </c>
      <c r="H158" s="38">
        <f>IF(NOT(ISBLANK('Referenz Pflasterwerk'!$I33)),'Referenz Pflasterwerk'!$I33,'Referenz Pflasterwerk'!$F33)*IF(NOT(ISBLANK('Eingabe EF'!$AI18)),'Eingabe EF'!$AI18,'Eingabe EF'!$AG18)</f>
        <v>328.4094996</v>
      </c>
      <c r="I158" s="17"/>
      <c r="J158" s="38">
        <f t="shared" si="22"/>
        <v>0</v>
      </c>
      <c r="K158" s="38">
        <f t="shared" si="21"/>
        <v>328.4094996</v>
      </c>
      <c r="L158" s="17" t="s">
        <v>199</v>
      </c>
      <c r="M158" s="43"/>
      <c r="N158" s="302"/>
      <c r="O158" s="17" t="s">
        <v>31</v>
      </c>
      <c r="P158" s="17"/>
      <c r="Q158" s="30"/>
      <c r="R158" s="17"/>
      <c r="S158" s="42">
        <v>0</v>
      </c>
      <c r="T158" s="20" t="s">
        <v>109</v>
      </c>
    </row>
    <row r="159" spans="2:21" hidden="1" outlineLevel="1" x14ac:dyDescent="0.2">
      <c r="B159" s="17"/>
      <c r="C159" s="17"/>
      <c r="D159" s="17"/>
      <c r="E159" s="17"/>
      <c r="F159" s="20"/>
      <c r="G159" s="20"/>
      <c r="H159" s="20"/>
      <c r="I159" s="17"/>
      <c r="J159" s="20"/>
      <c r="K159" s="20"/>
      <c r="L159" s="17"/>
      <c r="N159" s="302"/>
      <c r="O159" s="45" t="s">
        <v>155</v>
      </c>
      <c r="P159" s="17"/>
      <c r="Q159" s="30"/>
      <c r="R159" s="17"/>
      <c r="S159" s="42">
        <v>0</v>
      </c>
      <c r="T159" s="20" t="s">
        <v>109</v>
      </c>
    </row>
    <row r="160" spans="2:21" ht="14.25" hidden="1" outlineLevel="1" x14ac:dyDescent="0.25">
      <c r="B160" s="69"/>
      <c r="C160" s="69" t="s">
        <v>69</v>
      </c>
      <c r="D160" s="70"/>
      <c r="E160" s="70"/>
      <c r="F160" s="71">
        <f>SUM(F161:F164)</f>
        <v>0</v>
      </c>
      <c r="G160" s="71">
        <f>SUM(G161:G164)</f>
        <v>0</v>
      </c>
      <c r="H160" s="71">
        <f>SUM(H161:H164)</f>
        <v>7683.24</v>
      </c>
      <c r="I160" s="70"/>
      <c r="J160" s="71">
        <f t="shared" ref="J160:J164" si="24">F160+G160</f>
        <v>0</v>
      </c>
      <c r="K160" s="71">
        <f t="shared" ref="K160:K163" si="25">SUM(F160:H160)</f>
        <v>7683.24</v>
      </c>
      <c r="L160" s="76" t="s">
        <v>198</v>
      </c>
      <c r="N160" s="302"/>
      <c r="O160" s="45" t="s">
        <v>162</v>
      </c>
      <c r="P160" s="17"/>
      <c r="Q160" s="30"/>
      <c r="R160" s="17"/>
      <c r="S160" s="42">
        <v>0</v>
      </c>
      <c r="T160" s="20" t="s">
        <v>109</v>
      </c>
    </row>
    <row r="161" spans="2:20" ht="15.75" hidden="1" outlineLevel="1" x14ac:dyDescent="0.3">
      <c r="B161" s="17"/>
      <c r="C161" s="17"/>
      <c r="D161" s="17" t="s">
        <v>48</v>
      </c>
      <c r="E161" s="17"/>
      <c r="F161" s="38">
        <f>IF(NOT(ISBLANK('Referenz Pflasterwerk'!$I36)),'Referenz Pflasterwerk'!$I36,'Referenz Pflasterwerk'!$F36)*IF(NOT(ISBLANK('Eingabe EF'!$AA21)),'Eingabe EF'!$AA21,'Eingabe EF'!$Y21)*IF(NOT(ISBLANK('Referenz Pflasterwerk'!$I$12)),'Referenz Pflasterwerk'!$I$12,'Referenz Pflasterwerk'!$F$12)</f>
        <v>0</v>
      </c>
      <c r="G161" s="38">
        <f>IF(NOT(ISBLANK('Referenz Pflasterwerk'!$I36)),'Referenz Pflasterwerk'!$I36,'Referenz Pflasterwerk'!$F36)*IF(NOT(ISBLANK('Eingabe EF'!$AE21)),'Eingabe EF'!$AE21,'Eingabe EF'!$AC21)*IF(NOT(ISBLANK('Referenz Pflasterwerk'!$I$12)),'Referenz Pflasterwerk'!$I$12,'Referenz Pflasterwerk'!$F$12)</f>
        <v>0</v>
      </c>
      <c r="H161" s="38">
        <f>IF(NOT(ISBLANK('Referenz Pflasterwerk'!$I36)),'Referenz Pflasterwerk'!$I36,'Referenz Pflasterwerk'!$F36)*IF(NOT(ISBLANK('Eingabe EF'!$AI21)),'Eingabe EF'!$AI21,'Eingabe EF'!$AG21)*IF(NOT(ISBLANK('Referenz Pflasterwerk'!$I$12)),'Referenz Pflasterwerk'!$I$12,'Referenz Pflasterwerk'!$F$12)</f>
        <v>2144.625</v>
      </c>
      <c r="I161" s="17"/>
      <c r="J161" s="38">
        <f t="shared" si="24"/>
        <v>0</v>
      </c>
      <c r="K161" s="38">
        <f t="shared" si="25"/>
        <v>2144.625</v>
      </c>
      <c r="L161" s="17" t="s">
        <v>199</v>
      </c>
      <c r="M161" s="43"/>
      <c r="N161" s="17"/>
      <c r="O161" s="17"/>
      <c r="P161" s="17"/>
      <c r="Q161" s="17"/>
      <c r="R161" s="17"/>
      <c r="S161" s="17"/>
      <c r="T161" s="17"/>
    </row>
    <row r="162" spans="2:20" ht="15.75" hidden="1" outlineLevel="1" x14ac:dyDescent="0.3">
      <c r="B162" s="17"/>
      <c r="C162" s="17"/>
      <c r="D162" s="17" t="s">
        <v>50</v>
      </c>
      <c r="E162" s="17"/>
      <c r="F162" s="38">
        <f>IF(NOT(ISBLANK('Referenz Pflasterwerk'!$I37)),'Referenz Pflasterwerk'!$I37,'Referenz Pflasterwerk'!$F37)*IF(NOT(ISBLANK('Eingabe EF'!$AA22)),'Eingabe EF'!$AA22,'Eingabe EF'!$Y22)*IF(NOT(ISBLANK('Referenz Pflasterwerk'!$I$12)),'Referenz Pflasterwerk'!$I$12,'Referenz Pflasterwerk'!$F$12)</f>
        <v>0</v>
      </c>
      <c r="G162" s="38">
        <f>IF(NOT(ISBLANK('Referenz Pflasterwerk'!$I37)),'Referenz Pflasterwerk'!$I37,'Referenz Pflasterwerk'!$F37)*IF(NOT(ISBLANK('Eingabe EF'!$AE22)),'Eingabe EF'!$AE22,'Eingabe EF'!$AC22)*IF(NOT(ISBLANK('Referenz Pflasterwerk'!$I$12)),'Referenz Pflasterwerk'!$I$12,'Referenz Pflasterwerk'!$F$12)</f>
        <v>0</v>
      </c>
      <c r="H162" s="38">
        <f>IF(NOT(ISBLANK('Referenz Pflasterwerk'!$I37)),'Referenz Pflasterwerk'!$I37,'Referenz Pflasterwerk'!$F37)*IF(NOT(ISBLANK('Eingabe EF'!$AI22)),'Eingabe EF'!$AI22,'Eingabe EF'!$AG22)*IF(NOT(ISBLANK('Referenz Pflasterwerk'!$I$12)),'Referenz Pflasterwerk'!$I$12,'Referenz Pflasterwerk'!$F$12)</f>
        <v>4993.59</v>
      </c>
      <c r="I162" s="17"/>
      <c r="J162" s="38">
        <f t="shared" si="24"/>
        <v>0</v>
      </c>
      <c r="K162" s="38">
        <f t="shared" si="25"/>
        <v>4993.59</v>
      </c>
      <c r="L162" s="17" t="s">
        <v>199</v>
      </c>
      <c r="M162" s="43"/>
      <c r="N162" s="17"/>
      <c r="O162" s="17"/>
      <c r="P162" s="17"/>
      <c r="Q162" s="17"/>
      <c r="R162" s="17"/>
      <c r="S162" s="17"/>
      <c r="T162" s="17"/>
    </row>
    <row r="163" spans="2:20" ht="15.75" hidden="1" outlineLevel="1" x14ac:dyDescent="0.3">
      <c r="B163" s="17"/>
      <c r="C163" s="17"/>
      <c r="D163" s="17" t="s">
        <v>51</v>
      </c>
      <c r="E163" s="17"/>
      <c r="F163" s="38">
        <f>IF(NOT(ISBLANK('Referenz Pflasterwerk'!$I38)),'Referenz Pflasterwerk'!$I38,'Referenz Pflasterwerk'!$F38)*IF(NOT(ISBLANK('Eingabe EF'!$AA23)),'Eingabe EF'!$AA23,'Eingabe EF'!$Y23)*IF(NOT(ISBLANK('Referenz Pflasterwerk'!$I$12)),'Referenz Pflasterwerk'!$I$12,'Referenz Pflasterwerk'!$F$12)</f>
        <v>0</v>
      </c>
      <c r="G163" s="38">
        <f>IF(NOT(ISBLANK('Referenz Pflasterwerk'!$I38)),'Referenz Pflasterwerk'!$I38,'Referenz Pflasterwerk'!$F38)*IF(NOT(ISBLANK('Eingabe EF'!$AE23)),'Eingabe EF'!$AE23,'Eingabe EF'!$AC23)*IF(NOT(ISBLANK('Referenz Pflasterwerk'!$I$12)),'Referenz Pflasterwerk'!$I$12,'Referenz Pflasterwerk'!$F$12)</f>
        <v>0</v>
      </c>
      <c r="H163" s="38">
        <f>IF(NOT(ISBLANK('Referenz Pflasterwerk'!$I38)),'Referenz Pflasterwerk'!$I38,'Referenz Pflasterwerk'!$F38)*IF(NOT(ISBLANK('Eingabe EF'!$AI23)),'Eingabe EF'!$AI23,'Eingabe EF'!$AG23)*IF(NOT(ISBLANK('Referenz Pflasterwerk'!$I$12)),'Referenz Pflasterwerk'!$I$12,'Referenz Pflasterwerk'!$F$12)</f>
        <v>545.02499999999998</v>
      </c>
      <c r="I163" s="17"/>
      <c r="J163" s="38">
        <f t="shared" si="24"/>
        <v>0</v>
      </c>
      <c r="K163" s="38">
        <f t="shared" si="25"/>
        <v>545.02499999999998</v>
      </c>
      <c r="L163" s="17" t="s">
        <v>199</v>
      </c>
      <c r="M163" s="43"/>
      <c r="N163" s="17"/>
      <c r="O163" s="17" t="s">
        <v>201</v>
      </c>
      <c r="P163" s="17"/>
      <c r="Q163" s="30"/>
      <c r="R163" s="17"/>
      <c r="S163" s="42">
        <f>F199*IF(NOT(ISBLANK('Eingabe Preise'!$K21)),'Eingabe Preise'!$K21,'Eingabe Preise'!$I21)</f>
        <v>4797.0396071999994</v>
      </c>
      <c r="T163" s="20" t="s">
        <v>109</v>
      </c>
    </row>
    <row r="164" spans="2:20" ht="15.75" hidden="1" outlineLevel="1" x14ac:dyDescent="0.3">
      <c r="B164" s="17"/>
      <c r="C164" s="17"/>
      <c r="D164" s="17" t="s">
        <v>163</v>
      </c>
      <c r="E164" s="17"/>
      <c r="F164" s="38">
        <f>IF(NOT(ISBLANK('Referenz Pflasterwerk'!$I39)),'Referenz Pflasterwerk'!$I39,'Referenz Pflasterwerk'!$F39)*IF(NOT(ISBLANK('Eingabe EF'!$AA24)),'Eingabe EF'!$AA24,0)*IF(NOT(ISBLANK('Referenz Pflasterwerk'!$I$12)),'Referenz Pflasterwerk'!$I$12,'Referenz Pflasterwerk'!$F$12)</f>
        <v>0</v>
      </c>
      <c r="G164" s="38">
        <f>IF(NOT(ISBLANK('Referenz Pflasterwerk'!$I39)),'Referenz Pflasterwerk'!$I39,'Referenz Pflasterwerk'!$F39)*IF(NOT(ISBLANK('Eingabe EF'!$AE24)),'Eingabe EF'!$AE24,0)*IF(NOT(ISBLANK('Referenz Pflasterwerk'!$I$12)),'Referenz Pflasterwerk'!$I$12,'Referenz Pflasterwerk'!$F$12)</f>
        <v>0</v>
      </c>
      <c r="H164" s="38">
        <f>IF(NOT(ISBLANK('Referenz Pflasterwerk'!$I39)),'Referenz Pflasterwerk'!$I39,'Referenz Pflasterwerk'!$F39)*IF(NOT(ISBLANK('Eingabe EF'!$AI24)),'Eingabe EF'!$AI24,0)*IF(NOT(ISBLANK('Referenz Pflasterwerk'!$I$12)),'Referenz Pflasterwerk'!$I$12,'Referenz Pflasterwerk'!$F$12)</f>
        <v>0</v>
      </c>
      <c r="I164" s="17"/>
      <c r="J164" s="38">
        <f t="shared" si="24"/>
        <v>0</v>
      </c>
      <c r="K164" s="38">
        <f t="shared" ref="K164" si="26">SUM(F164:H164)</f>
        <v>0</v>
      </c>
      <c r="L164" s="17" t="s">
        <v>199</v>
      </c>
      <c r="M164" s="43"/>
      <c r="N164" s="17"/>
      <c r="O164" s="17" t="s">
        <v>202</v>
      </c>
      <c r="P164" s="17"/>
      <c r="Q164" s="30"/>
      <c r="R164" s="17"/>
      <c r="S164" s="42">
        <f>G199*IF(NOT(ISBLANK('Eingabe Preise'!$K22)),'Eingabe Preise'!$K22,'Eingabe Preise'!$I22)</f>
        <v>0</v>
      </c>
      <c r="T164" s="20" t="s">
        <v>109</v>
      </c>
    </row>
    <row r="165" spans="2:20" ht="15.75" hidden="1" outlineLevel="1" x14ac:dyDescent="0.3">
      <c r="B165" s="17"/>
      <c r="C165" s="17"/>
      <c r="D165" s="17"/>
      <c r="E165" s="17"/>
      <c r="F165" s="20"/>
      <c r="G165" s="20"/>
      <c r="H165" s="20"/>
      <c r="I165" s="17"/>
      <c r="J165" s="17"/>
      <c r="K165" s="20"/>
      <c r="L165" s="20"/>
      <c r="M165" s="43"/>
      <c r="N165" s="17"/>
      <c r="O165" s="17" t="s">
        <v>203</v>
      </c>
      <c r="P165" s="17"/>
      <c r="Q165" s="30"/>
      <c r="R165" s="17"/>
      <c r="S165" s="42">
        <f>H199*IF(NOT(ISBLANK('Eingabe Preise'!$K23)),'Eingabe Preise'!$K23,'Eingabe Preise'!$I23)</f>
        <v>472914.69572011038</v>
      </c>
      <c r="T165" s="20" t="s">
        <v>109</v>
      </c>
    </row>
    <row r="166" spans="2:20" ht="14.25" hidden="1" outlineLevel="1" x14ac:dyDescent="0.25">
      <c r="B166" s="69"/>
      <c r="C166" s="69" t="s">
        <v>178</v>
      </c>
      <c r="D166" s="70"/>
      <c r="E166" s="70"/>
      <c r="F166" s="71">
        <f>SUM(F167:F169)</f>
        <v>0</v>
      </c>
      <c r="G166" s="71">
        <f>SUM(G167:G169)</f>
        <v>0</v>
      </c>
      <c r="H166" s="71">
        <f>SUM(H167:H169)</f>
        <v>387.03000000000003</v>
      </c>
      <c r="I166" s="70"/>
      <c r="J166" s="71">
        <f t="shared" ref="J166" si="27">F166+G166</f>
        <v>0</v>
      </c>
      <c r="K166" s="71">
        <f t="shared" ref="K166" si="28">SUM(F166:H166)</f>
        <v>387.03000000000003</v>
      </c>
      <c r="L166" s="76" t="s">
        <v>198</v>
      </c>
      <c r="M166" s="43"/>
      <c r="N166" s="17"/>
      <c r="O166" s="17"/>
      <c r="P166" s="17"/>
      <c r="Q166" s="30"/>
      <c r="R166" s="17"/>
      <c r="S166" s="66"/>
      <c r="T166" s="17"/>
    </row>
    <row r="167" spans="2:20" ht="15.75" hidden="1" outlineLevel="1" x14ac:dyDescent="0.3">
      <c r="B167" s="17"/>
      <c r="C167" s="17"/>
      <c r="D167" s="17" t="s">
        <v>179</v>
      </c>
      <c r="E167" s="17"/>
      <c r="F167" s="38">
        <f>IF(NOT(ISBLANK('Referenz Pflasterwerk'!$I42)),'Referenz Pflasterwerk'!$I42,'Referenz Pflasterwerk'!$F42)*IF(NOT(ISBLANK('Eingabe EF'!$AA27)),'Eingabe EF'!$AA27,'Eingabe EF'!$Y27)*IF(NOT(ISBLANK('Referenz Pflasterwerk'!$I$12)),'Referenz Pflasterwerk'!$I$12,'Referenz Pflasterwerk'!$F$12)</f>
        <v>0</v>
      </c>
      <c r="G167" s="38">
        <f>IF(NOT(ISBLANK('Referenz Pflasterwerk'!$I42)),'Referenz Pflasterwerk'!$I42,'Referenz Pflasterwerk'!$F42)*IF(NOT(ISBLANK('Eingabe EF'!$AE27)),'Eingabe EF'!$AE27,'Eingabe EF'!$AC27)*IF(NOT(ISBLANK('Referenz Pflasterwerk'!$I$12)),'Referenz Pflasterwerk'!$I$12,'Referenz Pflasterwerk'!$F$12)</f>
        <v>0</v>
      </c>
      <c r="H167" s="38">
        <f>IF(NOT(ISBLANK('Referenz Pflasterwerk'!$I42)),'Referenz Pflasterwerk'!$I42,'Referenz Pflasterwerk'!$F42)*IF(NOT(ISBLANK('Eingabe EF'!$AI27)),'Eingabe EF'!$AI27,'Eingabe EF'!$AG27)*IF(NOT(ISBLANK('Referenz Pflasterwerk'!$I$12)),'Referenz Pflasterwerk'!$I$12,'Referenz Pflasterwerk'!$F$12)</f>
        <v>387.03000000000003</v>
      </c>
      <c r="I167" s="17"/>
      <c r="J167" s="38">
        <f>F167+G167</f>
        <v>0</v>
      </c>
      <c r="K167" s="38">
        <f>SUM(F167:H167)</f>
        <v>387.03000000000003</v>
      </c>
      <c r="L167" s="17" t="s">
        <v>199</v>
      </c>
      <c r="M167" s="43"/>
      <c r="N167" s="17"/>
      <c r="O167" s="17"/>
      <c r="P167" s="17"/>
      <c r="Q167" s="30"/>
      <c r="R167" s="17"/>
      <c r="S167" s="17"/>
      <c r="T167" s="17"/>
    </row>
    <row r="168" spans="2:20" ht="15.75" hidden="1" outlineLevel="1" x14ac:dyDescent="0.3">
      <c r="B168" s="17"/>
      <c r="C168" s="17"/>
      <c r="D168" s="17" t="s">
        <v>180</v>
      </c>
      <c r="E168" s="17"/>
      <c r="F168" s="38">
        <f>IF(NOT(ISBLANK('Referenz Pflasterwerk'!$I43)),'Referenz Pflasterwerk'!$I43,'Referenz Pflasterwerk'!$F43)*IF(NOT(ISBLANK('Eingabe EF'!$AA28)),'Eingabe EF'!$AA28,0)*IF(NOT(ISBLANK('Referenz Pflasterwerk'!$I$12)),'Referenz Pflasterwerk'!$I$12,'Referenz Pflasterwerk'!$F$12)</f>
        <v>0</v>
      </c>
      <c r="G168" s="38">
        <f>IF(NOT(ISBLANK('Referenz Pflasterwerk'!$I43)),'Referenz Pflasterwerk'!$I43,'Referenz Pflasterwerk'!$F43)*IF(NOT(ISBLANK('Eingabe EF'!$AE28)),'Eingabe EF'!$AE28,0)*IF(NOT(ISBLANK('Referenz Pflasterwerk'!$I$12)),'Referenz Pflasterwerk'!$I$12,'Referenz Pflasterwerk'!$F$12)</f>
        <v>0</v>
      </c>
      <c r="H168" s="38">
        <f>IF(NOT(ISBLANK('Referenz Pflasterwerk'!$I43)),'Referenz Pflasterwerk'!$I43,'Referenz Pflasterwerk'!$F43)*IF(NOT(ISBLANK('Eingabe EF'!$AI28)),'Eingabe EF'!$AI28,0)*IF(NOT(ISBLANK('Referenz Pflasterwerk'!$I$12)),'Referenz Pflasterwerk'!$I$12,'Referenz Pflasterwerk'!$F$12)</f>
        <v>0</v>
      </c>
      <c r="I168" s="17"/>
      <c r="J168" s="38">
        <f t="shared" ref="J168:J169" si="29">F168+G168</f>
        <v>0</v>
      </c>
      <c r="K168" s="38">
        <f t="shared" ref="K168:K169" si="30">SUM(F168:H168)</f>
        <v>0</v>
      </c>
      <c r="L168" s="17" t="s">
        <v>199</v>
      </c>
      <c r="M168" s="43"/>
      <c r="N168" s="17"/>
      <c r="O168" s="17"/>
      <c r="P168" s="17"/>
      <c r="Q168" s="30"/>
      <c r="R168" s="17"/>
      <c r="S168" s="66"/>
      <c r="T168" s="17"/>
    </row>
    <row r="169" spans="2:20" ht="15.75" hidden="1" outlineLevel="1" x14ac:dyDescent="0.3">
      <c r="B169" s="17"/>
      <c r="C169" s="17"/>
      <c r="D169" s="17" t="s">
        <v>181</v>
      </c>
      <c r="E169" s="17"/>
      <c r="F169" s="38">
        <f>IF(NOT(ISBLANK('Referenz Pflasterwerk'!$I44)),'Referenz Pflasterwerk'!$I44,'Referenz Pflasterwerk'!$F44)*IF(NOT(ISBLANK('Eingabe EF'!$AA29)),'Eingabe EF'!$AA29,0)*IF(NOT(ISBLANK('Referenz Pflasterwerk'!$I$12)),'Referenz Pflasterwerk'!$I$12,'Referenz Pflasterwerk'!$F$12)</f>
        <v>0</v>
      </c>
      <c r="G169" s="38">
        <f>IF(NOT(ISBLANK('Referenz Pflasterwerk'!$I44)),'Referenz Pflasterwerk'!$I44,'Referenz Pflasterwerk'!$F44)*IF(NOT(ISBLANK('Eingabe EF'!$AE29)),'Eingabe EF'!$AE29,0)*IF(NOT(ISBLANK('Referenz Pflasterwerk'!$I$12)),'Referenz Pflasterwerk'!$I$12,'Referenz Pflasterwerk'!$F$12)</f>
        <v>0</v>
      </c>
      <c r="H169" s="38">
        <f>IF(NOT(ISBLANK('Referenz Pflasterwerk'!$I44)),'Referenz Pflasterwerk'!$I44,'Referenz Pflasterwerk'!$F44)*IF(NOT(ISBLANK('Eingabe EF'!$AI29)),'Eingabe EF'!$AI29,0)*IF(NOT(ISBLANK('Referenz Pflasterwerk'!$I$12)),'Referenz Pflasterwerk'!$I$12,'Referenz Pflasterwerk'!$F$12)</f>
        <v>0</v>
      </c>
      <c r="I169" s="17"/>
      <c r="J169" s="38">
        <f t="shared" si="29"/>
        <v>0</v>
      </c>
      <c r="K169" s="38">
        <f t="shared" si="30"/>
        <v>0</v>
      </c>
      <c r="L169" s="17" t="s">
        <v>199</v>
      </c>
      <c r="M169" s="43"/>
      <c r="N169" s="43"/>
      <c r="O169" s="43"/>
      <c r="P169" s="43"/>
      <c r="Q169" s="43"/>
      <c r="R169" s="43"/>
      <c r="S169" s="43"/>
    </row>
    <row r="170" spans="2:20" hidden="1" outlineLevel="1" x14ac:dyDescent="0.2">
      <c r="B170" s="17"/>
      <c r="C170" s="17"/>
      <c r="D170" s="17"/>
      <c r="E170" s="17"/>
      <c r="F170" s="20"/>
      <c r="G170" s="20"/>
      <c r="H170" s="20"/>
      <c r="I170" s="17"/>
      <c r="J170" s="17"/>
      <c r="K170" s="20"/>
      <c r="L170" s="20"/>
      <c r="M170" s="43"/>
      <c r="N170" s="43"/>
      <c r="O170" s="43"/>
      <c r="P170" s="43"/>
      <c r="Q170" s="43"/>
      <c r="R170" s="43"/>
      <c r="S170" s="43"/>
    </row>
    <row r="171" spans="2:20" ht="14.25" hidden="1" outlineLevel="1" x14ac:dyDescent="0.25">
      <c r="B171" s="17"/>
      <c r="C171" s="17"/>
      <c r="D171" s="21" t="s">
        <v>58</v>
      </c>
      <c r="E171" s="21"/>
      <c r="F171" s="74">
        <f>IF(NOT(ISBLANK('Referenz Pflasterwerk'!$I46)),'Referenz Pflasterwerk'!$I46,'Referenz Pflasterwerk'!$F46)*IF(NOT(ISBLANK('Eingabe EF'!$AA31)),'Eingabe EF'!$AA31,'Eingabe EF'!$Y31)*IF(NOT(ISBLANK('Referenz Pflasterwerk'!$I$12)),'Referenz Pflasterwerk'!$I$12,'Referenz Pflasterwerk'!$F$12)</f>
        <v>0</v>
      </c>
      <c r="G171" s="74">
        <f>IF(NOT(ISBLANK('Referenz Pflasterwerk'!$I46)),'Referenz Pflasterwerk'!$I46,'Referenz Pflasterwerk'!$F46)*IF(NOT(ISBLANK('Eingabe EF'!$AE31)),'Eingabe EF'!$AE31,'Eingabe EF'!$AC31)*IF(NOT(ISBLANK('Referenz Pflasterwerk'!$I$12)),'Referenz Pflasterwerk'!$I$12,'Referenz Pflasterwerk'!$F$12)</f>
        <v>0</v>
      </c>
      <c r="H171" s="74">
        <f>IF(NOT(ISBLANK('Referenz Pflasterwerk'!$I46)),'Referenz Pflasterwerk'!$I46,'Referenz Pflasterwerk'!$F46)*IF(NOT(ISBLANK('Eingabe EF'!$AI31)),'Eingabe EF'!$AI31,'Eingabe EF'!$AG31)*IF(NOT(ISBLANK('Referenz Pflasterwerk'!$I$12)),'Referenz Pflasterwerk'!$I$12,'Referenz Pflasterwerk'!$F$12)</f>
        <v>1040</v>
      </c>
      <c r="I171" s="21"/>
      <c r="J171" s="74">
        <f>F171+G171</f>
        <v>0</v>
      </c>
      <c r="K171" s="74">
        <f t="shared" ref="K171" si="31">SUM(F171:H171)</f>
        <v>1040</v>
      </c>
      <c r="L171" s="21" t="s">
        <v>198</v>
      </c>
      <c r="M171" s="43"/>
      <c r="Q171" s="43"/>
      <c r="R171" s="43"/>
      <c r="S171" s="43"/>
    </row>
    <row r="172" spans="2:20" hidden="1" outlineLevel="1" x14ac:dyDescent="0.2">
      <c r="B172" s="17"/>
      <c r="C172" s="17"/>
      <c r="D172" s="17"/>
      <c r="E172" s="17"/>
      <c r="F172" s="20"/>
      <c r="G172" s="20"/>
      <c r="H172" s="20"/>
      <c r="I172" s="17"/>
      <c r="J172" s="17"/>
      <c r="K172" s="20"/>
      <c r="L172" s="20"/>
      <c r="M172" s="43"/>
      <c r="Q172" s="43"/>
      <c r="R172" s="43"/>
      <c r="S172" s="43"/>
    </row>
    <row r="173" spans="2:20" ht="14.25" hidden="1" outlineLevel="1" x14ac:dyDescent="0.25">
      <c r="B173" s="69"/>
      <c r="C173" s="69" t="s">
        <v>182</v>
      </c>
      <c r="D173" s="70"/>
      <c r="E173" s="70"/>
      <c r="F173" s="71">
        <f>SUM(F174:F176)</f>
        <v>0</v>
      </c>
      <c r="G173" s="71">
        <f>SUM(G174:G176)</f>
        <v>0</v>
      </c>
      <c r="H173" s="71">
        <f>SUM(H174:H176)</f>
        <v>424.19999999999993</v>
      </c>
      <c r="I173" s="70"/>
      <c r="J173" s="71">
        <f t="shared" ref="J173" si="32">F173+G173</f>
        <v>0</v>
      </c>
      <c r="K173" s="71">
        <f t="shared" ref="K173" si="33">SUM(F173:H173)</f>
        <v>424.19999999999993</v>
      </c>
      <c r="L173" s="76" t="s">
        <v>198</v>
      </c>
      <c r="M173" s="43"/>
      <c r="Q173" s="43"/>
      <c r="R173" s="43"/>
      <c r="S173" s="43"/>
    </row>
    <row r="174" spans="2:20" ht="15.75" hidden="1" outlineLevel="1" x14ac:dyDescent="0.3">
      <c r="B174" s="17"/>
      <c r="C174" s="17"/>
      <c r="D174" s="17" t="s">
        <v>60</v>
      </c>
      <c r="E174" s="17"/>
      <c r="F174" s="38">
        <f>IF(NOT(ISBLANK('Referenz Pflasterwerk'!$I49)),'Referenz Pflasterwerk'!$I49,'Referenz Pflasterwerk'!$F49)*IF(NOT(ISBLANK('Eingabe EF'!$AA34)),'Eingabe EF'!$AA34,'Eingabe EF'!$Y34)*IF(NOT(ISBLANK('Referenz Pflasterwerk'!$I$12)),'Referenz Pflasterwerk'!$I$12,'Referenz Pflasterwerk'!$F$12)</f>
        <v>0</v>
      </c>
      <c r="G174" s="38">
        <f>IF(NOT(ISBLANK('Referenz Pflasterwerk'!$I49)),'Referenz Pflasterwerk'!$I49,'Referenz Pflasterwerk'!$F49)*IF(NOT(ISBLANK('Eingabe EF'!$AE34)),'Eingabe EF'!$AE34,'Eingabe EF'!$AC34)*IF(NOT(ISBLANK('Referenz Pflasterwerk'!$I$12)),'Referenz Pflasterwerk'!$I$12,'Referenz Pflasterwerk'!$F$12)</f>
        <v>0</v>
      </c>
      <c r="H174" s="38">
        <f>IF(NOT(ISBLANK('Referenz Pflasterwerk'!$I49)),'Referenz Pflasterwerk'!$I49,'Referenz Pflasterwerk'!$F49)*IF(NOT(ISBLANK('Eingabe EF'!$AI34)),'Eingabe EF'!$AI34,'Eingabe EF'!$AG34)*IF(NOT(ISBLANK('Referenz Pflasterwerk'!$I$12)),'Referenz Pflasterwerk'!$I$12,'Referenz Pflasterwerk'!$F$12)</f>
        <v>356.4</v>
      </c>
      <c r="I174" s="17"/>
      <c r="J174" s="38">
        <f>F174+G174</f>
        <v>0</v>
      </c>
      <c r="K174" s="38">
        <f>SUM(F174:H174)</f>
        <v>356.4</v>
      </c>
      <c r="L174" s="17" t="s">
        <v>199</v>
      </c>
      <c r="M174" s="43"/>
      <c r="Q174" s="43"/>
      <c r="R174" s="43"/>
      <c r="S174" s="43"/>
    </row>
    <row r="175" spans="2:20" ht="15.75" hidden="1" outlineLevel="1" x14ac:dyDescent="0.3">
      <c r="B175" s="17"/>
      <c r="C175" s="17"/>
      <c r="D175" s="17" t="s">
        <v>61</v>
      </c>
      <c r="E175" s="17"/>
      <c r="F175" s="38">
        <f>IF(NOT(ISBLANK('Referenz Pflasterwerk'!$I50)),'Referenz Pflasterwerk'!$I50,'Referenz Pflasterwerk'!$F50)*IF(NOT(ISBLANK('Eingabe EF'!$AA35)),'Eingabe EF'!$AA35,'Eingabe EF'!$Y35)*IF(NOT(ISBLANK('Referenz Pflasterwerk'!$I$12)),'Referenz Pflasterwerk'!$I$12,'Referenz Pflasterwerk'!$F$12)</f>
        <v>0</v>
      </c>
      <c r="G175" s="38">
        <f>IF(NOT(ISBLANK('Referenz Pflasterwerk'!$I50)),'Referenz Pflasterwerk'!$I50,'Referenz Pflasterwerk'!$F50)*IF(NOT(ISBLANK('Eingabe EF'!$AE35)),'Eingabe EF'!$AE35,'Eingabe EF'!$AC35)*IF(NOT(ISBLANK('Referenz Pflasterwerk'!$I$12)),'Referenz Pflasterwerk'!$I$12,'Referenz Pflasterwerk'!$F$12)</f>
        <v>0</v>
      </c>
      <c r="H175" s="38">
        <f>IF(NOT(ISBLANK('Referenz Pflasterwerk'!$I50)),'Referenz Pflasterwerk'!$I50,'Referenz Pflasterwerk'!$F50)*IF(NOT(ISBLANK('Eingabe EF'!$AI35)),'Eingabe EF'!$AI35,'Eingabe EF'!$AG35)*IF(NOT(ISBLANK('Referenz Pflasterwerk'!$I$12)),'Referenz Pflasterwerk'!$I$12,'Referenz Pflasterwerk'!$F$12)</f>
        <v>0</v>
      </c>
      <c r="I175" s="17"/>
      <c r="J175" s="38">
        <f>F175+G175</f>
        <v>0</v>
      </c>
      <c r="K175" s="38">
        <f>SUM(F175:H175)</f>
        <v>0</v>
      </c>
      <c r="L175" s="17" t="s">
        <v>199</v>
      </c>
      <c r="M175" s="43"/>
      <c r="Q175" s="43"/>
      <c r="R175" s="43"/>
      <c r="S175" s="43"/>
    </row>
    <row r="176" spans="2:20" ht="15.75" hidden="1" outlineLevel="1" x14ac:dyDescent="0.3">
      <c r="B176" s="17"/>
      <c r="C176" s="17"/>
      <c r="D176" s="17" t="s">
        <v>62</v>
      </c>
      <c r="E176" s="17"/>
      <c r="F176" s="38">
        <f>IF(NOT(ISBLANK('Referenz Pflasterwerk'!$I51)),'Referenz Pflasterwerk'!$I51,'Referenz Pflasterwerk'!$F51)*IF(NOT(ISBLANK('Eingabe EF'!$AA36)),'Eingabe EF'!$AA36,'Eingabe EF'!$Y36)*IF(NOT(ISBLANK('Referenz Pflasterwerk'!$I$12)),'Referenz Pflasterwerk'!$I$12,'Referenz Pflasterwerk'!$F$12)</f>
        <v>0</v>
      </c>
      <c r="G176" s="38">
        <f>IF(NOT(ISBLANK('Referenz Pflasterwerk'!$I51)),'Referenz Pflasterwerk'!$I51,'Referenz Pflasterwerk'!$F51)*IF(NOT(ISBLANK('Eingabe EF'!$AE36)),'Eingabe EF'!$AE36,'Eingabe EF'!$AC36)*IF(NOT(ISBLANK('Referenz Pflasterwerk'!$I$12)),'Referenz Pflasterwerk'!$I$12,'Referenz Pflasterwerk'!$F$12)</f>
        <v>0</v>
      </c>
      <c r="H176" s="38">
        <f>IF(NOT(ISBLANK('Referenz Pflasterwerk'!$I51)),'Referenz Pflasterwerk'!$I51,'Referenz Pflasterwerk'!$F51)*IF(NOT(ISBLANK('Eingabe EF'!$AI36)),'Eingabe EF'!$AI36,'Eingabe EF'!$AG36)*IF(NOT(ISBLANK('Referenz Pflasterwerk'!$I$12)),'Referenz Pflasterwerk'!$I$12,'Referenz Pflasterwerk'!$F$12)</f>
        <v>67.799999999999983</v>
      </c>
      <c r="I176" s="17"/>
      <c r="J176" s="38">
        <f>F176+G176</f>
        <v>0</v>
      </c>
      <c r="K176" s="38">
        <f>SUM(F176:H176)</f>
        <v>67.799999999999983</v>
      </c>
      <c r="L176" s="17" t="s">
        <v>199</v>
      </c>
      <c r="M176" s="43"/>
      <c r="Q176" s="43"/>
      <c r="R176" s="43"/>
      <c r="S176" s="43"/>
    </row>
    <row r="177" spans="2:19" hidden="1" outlineLevel="1" x14ac:dyDescent="0.2">
      <c r="B177" s="17"/>
      <c r="C177" s="17"/>
      <c r="D177" s="17"/>
      <c r="E177" s="17"/>
      <c r="F177" s="20"/>
      <c r="G177" s="20"/>
      <c r="H177" s="20"/>
      <c r="I177" s="17"/>
      <c r="J177" s="17"/>
      <c r="K177" s="20"/>
      <c r="L177" s="20"/>
      <c r="M177" s="43"/>
      <c r="N177" s="43"/>
      <c r="O177" s="43"/>
      <c r="P177" s="43"/>
      <c r="Q177" s="43"/>
      <c r="R177" s="43"/>
      <c r="S177" s="43"/>
    </row>
    <row r="178" spans="2:19" ht="14.25" hidden="1" outlineLevel="1" x14ac:dyDescent="0.25">
      <c r="B178" s="69"/>
      <c r="C178" s="69" t="s">
        <v>52</v>
      </c>
      <c r="D178" s="70"/>
      <c r="E178" s="70"/>
      <c r="F178" s="71">
        <f>SUM(F179:F182)</f>
        <v>0</v>
      </c>
      <c r="G178" s="71">
        <f>SUM(G179:G182)</f>
        <v>0</v>
      </c>
      <c r="H178" s="71">
        <f>SUM(H179:H182)</f>
        <v>185.55932668689491</v>
      </c>
      <c r="I178" s="70"/>
      <c r="J178" s="71">
        <f t="shared" ref="J178:J182" si="34">F178+G178</f>
        <v>0</v>
      </c>
      <c r="K178" s="71">
        <f t="shared" ref="K178" si="35">SUM(F178:H178)</f>
        <v>185.55932668689491</v>
      </c>
      <c r="L178" s="76" t="s">
        <v>198</v>
      </c>
      <c r="M178" s="43"/>
      <c r="N178" s="43"/>
      <c r="O178" s="43"/>
      <c r="P178" s="43"/>
      <c r="Q178" s="43"/>
      <c r="R178" s="43"/>
      <c r="S178" s="43"/>
    </row>
    <row r="179" spans="2:19" ht="15.75" hidden="1" outlineLevel="1" x14ac:dyDescent="0.3">
      <c r="B179" s="17"/>
      <c r="C179" s="17"/>
      <c r="D179" s="17" t="s">
        <v>53</v>
      </c>
      <c r="E179" s="17"/>
      <c r="F179" s="38">
        <f>IF(NOT(ISBLANK('Referenz Pflasterwerk'!$I$53)),'Referenz Pflasterwerk'!$I$53,'Referenz Pflasterwerk'!$F$53)*IF(NOT(ISBLANK('Referenz Pflasterwerk'!$I54)),'Referenz Pflasterwerk'!$I54,'Referenz Pflasterwerk'!$F54)*IF(NOT(ISBLANK('Eingabe EF'!$AA39)),'Eingabe EF'!$AA39,'Eingabe EF'!$Y39)*IF(NOT(ISBLANK('Referenz Pflasterwerk'!$I$12)),'Referenz Pflasterwerk'!$I$12,'Referenz Pflasterwerk'!$F$12)</f>
        <v>0</v>
      </c>
      <c r="G179" s="38">
        <f>IF(NOT(ISBLANK('Referenz Pflasterwerk'!$I$53)),'Referenz Pflasterwerk'!$I$53,'Referenz Pflasterwerk'!$F$53)*IF(NOT(ISBLANK('Referenz Pflasterwerk'!$I54)),'Referenz Pflasterwerk'!$I54,'Referenz Pflasterwerk'!$F54)*IF(NOT(ISBLANK('Eingabe EF'!$AE39)),'Eingabe EF'!$AE39,'Eingabe EF'!$AC39)*IF(NOT(ISBLANK('Referenz Pflasterwerk'!$I$12)),'Referenz Pflasterwerk'!$I$12,'Referenz Pflasterwerk'!$F$12)</f>
        <v>0</v>
      </c>
      <c r="H179" s="38">
        <f>IF(NOT(ISBLANK('Referenz Pflasterwerk'!$I$53)),'Referenz Pflasterwerk'!$I$53,'Referenz Pflasterwerk'!$F$53)*IF(NOT(ISBLANK('Referenz Pflasterwerk'!$I54)),'Referenz Pflasterwerk'!$I54,'Referenz Pflasterwerk'!$F54)*IF(NOT(ISBLANK('Eingabe EF'!$AI39)),'Eingabe EF'!$AI39,'Eingabe EF'!$AG39)*IF(NOT(ISBLANK('Referenz Pflasterwerk'!$I$12)),'Referenz Pflasterwerk'!$I$12,'Referenz Pflasterwerk'!$F$12)</f>
        <v>59.997399219765924</v>
      </c>
      <c r="I179" s="17"/>
      <c r="J179" s="38">
        <f t="shared" si="34"/>
        <v>0</v>
      </c>
      <c r="K179" s="38">
        <f t="shared" ref="K179:K182" si="36">SUM(F179:H179)</f>
        <v>59.997399219765924</v>
      </c>
      <c r="L179" s="17" t="s">
        <v>199</v>
      </c>
      <c r="M179" s="43"/>
      <c r="N179" s="43"/>
      <c r="O179" s="43"/>
      <c r="P179" s="43"/>
      <c r="Q179" s="43"/>
      <c r="R179" s="43"/>
      <c r="S179" s="43"/>
    </row>
    <row r="180" spans="2:19" ht="15.75" hidden="1" outlineLevel="1" x14ac:dyDescent="0.3">
      <c r="B180" s="17"/>
      <c r="C180" s="17"/>
      <c r="D180" s="17" t="s">
        <v>55</v>
      </c>
      <c r="E180" s="17"/>
      <c r="F180" s="38">
        <f>IF(NOT(ISBLANK('Referenz Pflasterwerk'!$I$53)),'Referenz Pflasterwerk'!$I$53,'Referenz Pflasterwerk'!$F$53)*IF(NOT(ISBLANK('Referenz Pflasterwerk'!$I55)),'Referenz Pflasterwerk'!$I55,'Referenz Pflasterwerk'!$F55)*IF(NOT(ISBLANK('Eingabe EF'!$AA40)),'Eingabe EF'!$AA40,'Eingabe EF'!$Y40)*IF(NOT(ISBLANK('Referenz Pflasterwerk'!$I$12)),'Referenz Pflasterwerk'!$I$12,'Referenz Pflasterwerk'!$F$12)</f>
        <v>0</v>
      </c>
      <c r="G180" s="38">
        <f>IF(NOT(ISBLANK('Referenz Pflasterwerk'!$I$53)),'Referenz Pflasterwerk'!$I$53,'Referenz Pflasterwerk'!$F$53)*IF(NOT(ISBLANK('Referenz Pflasterwerk'!$I55)),'Referenz Pflasterwerk'!$I55,'Referenz Pflasterwerk'!$F55)*IF(NOT(ISBLANK('Eingabe EF'!$AE40)),'Eingabe EF'!$AE40,'Eingabe EF'!$AC40)*IF(NOT(ISBLANK('Referenz Pflasterwerk'!$I$12)),'Referenz Pflasterwerk'!$I$12,'Referenz Pflasterwerk'!$F$12)</f>
        <v>0</v>
      </c>
      <c r="H180" s="38">
        <f>IF(NOT(ISBLANK('Referenz Pflasterwerk'!$I$53)),'Referenz Pflasterwerk'!$I$53,'Referenz Pflasterwerk'!$F$53)*IF(NOT(ISBLANK('Referenz Pflasterwerk'!$I55)),'Referenz Pflasterwerk'!$I55,'Referenz Pflasterwerk'!$F55)*IF(NOT(ISBLANK('Eingabe EF'!$AI40)),'Eingabe EF'!$AI40,'Eingabe EF'!$AG40)*IF(NOT(ISBLANK('Referenz Pflasterwerk'!$I$12)),'Referenz Pflasterwerk'!$I$12,'Referenz Pflasterwerk'!$F$12)</f>
        <v>7.224692963444574</v>
      </c>
      <c r="I180" s="17"/>
      <c r="J180" s="38">
        <f t="shared" si="34"/>
        <v>0</v>
      </c>
      <c r="K180" s="38">
        <f t="shared" si="36"/>
        <v>7.224692963444574</v>
      </c>
      <c r="L180" s="17" t="s">
        <v>199</v>
      </c>
      <c r="M180" s="43"/>
      <c r="N180" s="43"/>
      <c r="O180" s="43"/>
      <c r="P180" s="43"/>
      <c r="Q180" s="43"/>
      <c r="R180" s="43"/>
      <c r="S180" s="43"/>
    </row>
    <row r="181" spans="2:19" ht="15.75" hidden="1" outlineLevel="1" x14ac:dyDescent="0.3">
      <c r="B181" s="17"/>
      <c r="C181" s="17"/>
      <c r="D181" s="17" t="s">
        <v>56</v>
      </c>
      <c r="E181" s="17"/>
      <c r="F181" s="38">
        <f>IF(NOT(ISBLANK('Referenz Pflasterwerk'!$I$53)),'Referenz Pflasterwerk'!$I$53,'Referenz Pflasterwerk'!$F$53)*IF(NOT(ISBLANK('Referenz Pflasterwerk'!$I56)),'Referenz Pflasterwerk'!$I56,'Referenz Pflasterwerk'!$F56)*IF(NOT(ISBLANK('Eingabe EF'!$AA41)),'Eingabe EF'!$AA41,'Eingabe EF'!$Y41)*IF(NOT(ISBLANK('Referenz Pflasterwerk'!$I$12)),'Referenz Pflasterwerk'!$I$12,'Referenz Pflasterwerk'!$F$12)</f>
        <v>0</v>
      </c>
      <c r="G181" s="38">
        <f>IF(NOT(ISBLANK('Referenz Pflasterwerk'!$I$53)),'Referenz Pflasterwerk'!$I$53,'Referenz Pflasterwerk'!$F$53)*IF(NOT(ISBLANK('Referenz Pflasterwerk'!$I56)),'Referenz Pflasterwerk'!$I56,'Referenz Pflasterwerk'!$F56)*IF(NOT(ISBLANK('Eingabe EF'!$AE41)),'Eingabe EF'!$AE41,'Eingabe EF'!$AC41)*IF(NOT(ISBLANK('Referenz Pflasterwerk'!$I$12)),'Referenz Pflasterwerk'!$I$12,'Referenz Pflasterwerk'!$F$12)</f>
        <v>0</v>
      </c>
      <c r="H181" s="38">
        <f>IF(NOT(ISBLANK('Referenz Pflasterwerk'!$I$53)),'Referenz Pflasterwerk'!$I$53,'Referenz Pflasterwerk'!$F$53)*IF(NOT(ISBLANK('Referenz Pflasterwerk'!$I56)),'Referenz Pflasterwerk'!$I56,'Referenz Pflasterwerk'!$F56)*IF(NOT(ISBLANK('Eingabe EF'!$AI41)),'Eingabe EF'!$AI41,'Eingabe EF'!$AG41)*IF(NOT(ISBLANK('Referenz Pflasterwerk'!$I$12)),'Referenz Pflasterwerk'!$I$12,'Referenz Pflasterwerk'!$F$12)</f>
        <v>1.7771998266146515E-2</v>
      </c>
      <c r="I181" s="17"/>
      <c r="J181" s="38">
        <f t="shared" si="34"/>
        <v>0</v>
      </c>
      <c r="K181" s="38">
        <f t="shared" si="36"/>
        <v>1.7771998266146515E-2</v>
      </c>
      <c r="L181" s="17" t="s">
        <v>199</v>
      </c>
      <c r="M181" s="43"/>
      <c r="N181" s="43"/>
      <c r="O181" s="43"/>
      <c r="P181" s="43"/>
      <c r="Q181" s="43"/>
      <c r="R181" s="43"/>
      <c r="S181" s="43"/>
    </row>
    <row r="182" spans="2:19" ht="15.75" hidden="1" outlineLevel="1" x14ac:dyDescent="0.3">
      <c r="B182" s="17"/>
      <c r="C182" s="17"/>
      <c r="D182" s="17" t="s">
        <v>57</v>
      </c>
      <c r="E182" s="17"/>
      <c r="F182" s="38">
        <f>IF(NOT(ISBLANK('Referenz Pflasterwerk'!$I$53)),'Referenz Pflasterwerk'!$I$53,'Referenz Pflasterwerk'!$F$53)*IF(NOT(ISBLANK('Referenz Pflasterwerk'!$I57)),'Referenz Pflasterwerk'!$I57,'Referenz Pflasterwerk'!$F57)*IF(NOT(ISBLANK('Eingabe EF'!$AA42)),'Eingabe EF'!$AA42,'Eingabe EF'!$Y42)*IF(NOT(ISBLANK('Referenz Pflasterwerk'!$I$12)),'Referenz Pflasterwerk'!$I$12,'Referenz Pflasterwerk'!$F$12)</f>
        <v>0</v>
      </c>
      <c r="G182" s="38">
        <f>IF(NOT(ISBLANK('Referenz Pflasterwerk'!$I$53)),'Referenz Pflasterwerk'!$I$53,'Referenz Pflasterwerk'!$F$53)*IF(NOT(ISBLANK('Referenz Pflasterwerk'!$I57)),'Referenz Pflasterwerk'!$I57,'Referenz Pflasterwerk'!$F57)*IF(NOT(ISBLANK('Eingabe EF'!$AE42)),'Eingabe EF'!$AE42,'Eingabe EF'!$AC42)*IF(NOT(ISBLANK('Referenz Pflasterwerk'!$I$12)),'Referenz Pflasterwerk'!$I$12,'Referenz Pflasterwerk'!$F$12)</f>
        <v>0</v>
      </c>
      <c r="H182" s="38">
        <f>IF(NOT(ISBLANK('Referenz Pflasterwerk'!$I$53)),'Referenz Pflasterwerk'!$I$53,'Referenz Pflasterwerk'!$F$53)*IF(NOT(ISBLANK('Referenz Pflasterwerk'!$I57)),'Referenz Pflasterwerk'!$I57,'Referenz Pflasterwerk'!$F57)*IF(NOT(ISBLANK('Eingabe EF'!$AI42)),'Eingabe EF'!$AI42,'Eingabe EF'!$AG42)*IF(NOT(ISBLANK('Referenz Pflasterwerk'!$I$12)),'Referenz Pflasterwerk'!$I$12,'Referenz Pflasterwerk'!$F$12)</f>
        <v>118.31946250541829</v>
      </c>
      <c r="I182" s="17"/>
      <c r="J182" s="38">
        <f t="shared" si="34"/>
        <v>0</v>
      </c>
      <c r="K182" s="38">
        <f t="shared" si="36"/>
        <v>118.31946250541829</v>
      </c>
      <c r="L182" s="17" t="s">
        <v>199</v>
      </c>
      <c r="M182" s="43"/>
      <c r="N182" s="43"/>
      <c r="O182" s="43"/>
      <c r="P182" s="43"/>
      <c r="Q182" s="43"/>
      <c r="R182" s="43"/>
      <c r="S182" s="43"/>
    </row>
    <row r="183" spans="2:19" hidden="1" outlineLevel="1" x14ac:dyDescent="0.2">
      <c r="B183" s="17"/>
      <c r="C183" s="17"/>
      <c r="D183" s="17"/>
      <c r="E183" s="17"/>
      <c r="F183" s="20"/>
      <c r="G183" s="20"/>
      <c r="H183" s="20"/>
      <c r="I183" s="17"/>
      <c r="J183" s="20"/>
      <c r="K183" s="20"/>
      <c r="L183" s="17"/>
      <c r="M183" s="43"/>
      <c r="N183" s="43"/>
      <c r="O183" s="43"/>
      <c r="P183" s="43"/>
      <c r="Q183" s="43"/>
      <c r="R183" s="43"/>
      <c r="S183" s="43"/>
    </row>
    <row r="184" spans="2:19" ht="14.25" hidden="1" outlineLevel="1" x14ac:dyDescent="0.25">
      <c r="B184" s="17"/>
      <c r="C184" s="17"/>
      <c r="D184" s="21" t="s">
        <v>113</v>
      </c>
      <c r="E184" s="21"/>
      <c r="F184" s="74">
        <f>IF(NOT(ISBLANK('Referenz Pflasterwerk'!$I59)),'Referenz Pflasterwerk'!$I59,'Referenz Pflasterwerk'!$F59)*IF(NOT(ISBLANK('Eingabe EF'!$AA44)),'Eingabe EF'!$AA44,0)*IF(NOT(ISBLANK('Referenz Pflasterwerk'!$I$12)),'Referenz Pflasterwerk'!$I$12,'Referenz Pflasterwerk'!$F$12)</f>
        <v>0</v>
      </c>
      <c r="G184" s="74">
        <f>IF(NOT(ISBLANK('Referenz Pflasterwerk'!$I59)),'Referenz Pflasterwerk'!$I59,'Referenz Pflasterwerk'!$F59)*IF(NOT(ISBLANK('Eingabe EF'!$AE44)),'Eingabe EF'!$AE44,0)*IF(NOT(ISBLANK('Referenz Pflasterwerk'!$I$12)),'Referenz Pflasterwerk'!$I$12,'Referenz Pflasterwerk'!$F$12)</f>
        <v>0</v>
      </c>
      <c r="H184" s="74">
        <f>IF(NOT(ISBLANK('Referenz Pflasterwerk'!$I59)),'Referenz Pflasterwerk'!$I59,'Referenz Pflasterwerk'!$F59)*IF(NOT(ISBLANK('Eingabe EF'!$AI44)),'Eingabe EF'!$AI44,0)*IF(NOT(ISBLANK('Referenz Pflasterwerk'!$I$12)),'Referenz Pflasterwerk'!$I$12,'Referenz Pflasterwerk'!$F$12)</f>
        <v>0</v>
      </c>
      <c r="I184" s="21"/>
      <c r="J184" s="74">
        <f>F184+G184</f>
        <v>0</v>
      </c>
      <c r="K184" s="74">
        <f>SUM(F184:H184)</f>
        <v>0</v>
      </c>
      <c r="L184" s="21" t="s">
        <v>198</v>
      </c>
      <c r="M184" s="43"/>
      <c r="N184" s="43"/>
      <c r="O184" s="43"/>
      <c r="P184" s="43"/>
      <c r="Q184" s="43"/>
      <c r="R184" s="43"/>
      <c r="S184" s="43"/>
    </row>
    <row r="185" spans="2:19" ht="14.25" hidden="1" outlineLevel="1" x14ac:dyDescent="0.25">
      <c r="B185" s="17"/>
      <c r="C185" s="17"/>
      <c r="D185" s="21" t="s">
        <v>65</v>
      </c>
      <c r="E185" s="21"/>
      <c r="F185" s="74">
        <f>IF(NOT(ISBLANK('Referenz Pflasterwerk'!$I60)),'Referenz Pflasterwerk'!$I60,'Referenz Pflasterwerk'!$F60)*IF(NOT(ISBLANK('Eingabe EF'!$AA45)),'Eingabe EF'!$AA45,'Eingabe EF'!$Y45)</f>
        <v>0</v>
      </c>
      <c r="G185" s="74">
        <f>IF(NOT(ISBLANK('Referenz Pflasterwerk'!$I60)),'Referenz Pflasterwerk'!$I60,'Referenz Pflasterwerk'!$F60)*IF(NOT(ISBLANK('Eingabe EF'!$AE45)),'Eingabe EF'!$AE45,'Eingabe EF'!$AC45)</f>
        <v>0</v>
      </c>
      <c r="H185" s="74">
        <f>IF(NOT(ISBLANK('Referenz Pflasterwerk'!$I60)),'Referenz Pflasterwerk'!$I60,'Referenz Pflasterwerk'!$F60)*IF(NOT(ISBLANK('Eingabe EF'!$AI45)),'Eingabe EF'!$AI45,'Eingabe EF'!$AG45)</f>
        <v>5.4399999999999997E-2</v>
      </c>
      <c r="I185" s="21"/>
      <c r="J185" s="74">
        <f>F185+G185</f>
        <v>0</v>
      </c>
      <c r="K185" s="74">
        <f>SUM(F185:H185)</f>
        <v>5.4399999999999997E-2</v>
      </c>
      <c r="L185" s="21" t="s">
        <v>198</v>
      </c>
      <c r="M185" s="43"/>
      <c r="N185" s="43"/>
      <c r="O185" s="43"/>
      <c r="P185" s="43"/>
      <c r="Q185" s="43"/>
      <c r="R185" s="43"/>
      <c r="S185" s="43"/>
    </row>
    <row r="186" spans="2:19" hidden="1" outlineLevel="1" x14ac:dyDescent="0.2">
      <c r="B186" s="17"/>
      <c r="C186" s="17"/>
      <c r="D186" s="17"/>
      <c r="E186" s="17"/>
      <c r="F186" s="20"/>
      <c r="G186" s="20"/>
      <c r="H186" s="20"/>
      <c r="I186" s="17"/>
      <c r="J186" s="20"/>
      <c r="K186" s="20"/>
      <c r="L186" s="17"/>
      <c r="M186" s="43"/>
      <c r="N186" s="43"/>
      <c r="O186" s="43"/>
      <c r="P186" s="43"/>
      <c r="Q186" s="43"/>
      <c r="R186" s="43"/>
      <c r="S186" s="43"/>
    </row>
    <row r="187" spans="2:19" ht="14.25" hidden="1" outlineLevel="1" x14ac:dyDescent="0.25">
      <c r="B187" s="69"/>
      <c r="C187" s="69" t="s">
        <v>183</v>
      </c>
      <c r="D187" s="70"/>
      <c r="E187" s="70"/>
      <c r="F187" s="71">
        <f>SUM(F188:F190)</f>
        <v>0</v>
      </c>
      <c r="G187" s="71">
        <f>SUM(G188:G190)</f>
        <v>0</v>
      </c>
      <c r="H187" s="71">
        <f>SUM(H188:H190)</f>
        <v>0</v>
      </c>
      <c r="I187" s="70"/>
      <c r="J187" s="71">
        <f t="shared" ref="J187:J190" si="37">F187+G187</f>
        <v>0</v>
      </c>
      <c r="K187" s="71">
        <f t="shared" ref="K187" si="38">SUM(F187:H187)</f>
        <v>0</v>
      </c>
      <c r="L187" s="76" t="s">
        <v>198</v>
      </c>
      <c r="M187" s="43"/>
      <c r="N187" s="43"/>
      <c r="O187" s="43"/>
      <c r="P187" s="43"/>
      <c r="Q187" s="43"/>
      <c r="R187" s="43"/>
      <c r="S187" s="43"/>
    </row>
    <row r="188" spans="2:19" ht="15.75" hidden="1" outlineLevel="1" x14ac:dyDescent="0.3">
      <c r="B188" s="17"/>
      <c r="C188" s="17"/>
      <c r="D188" s="17" t="s">
        <v>184</v>
      </c>
      <c r="E188" s="17"/>
      <c r="F188" s="38">
        <f>IF(NOT(ISBLANK('Referenz Pflasterwerk'!$I63)),'Referenz Pflasterwerk'!$I63,'Referenz Pflasterwerk'!$F63)*IF(NOT(ISBLANK('Eingabe EF'!$AA48)),'Eingabe EF'!$AA48,0)*IF(NOT(ISBLANK('Referenz Pflasterwerk'!$I$12)),'Referenz Pflasterwerk'!$I$12,'Referenz Pflasterwerk'!$F$12)</f>
        <v>0</v>
      </c>
      <c r="G188" s="38">
        <f>IF(NOT(ISBLANK('Referenz Pflasterwerk'!$I63)),'Referenz Pflasterwerk'!$I63,'Referenz Pflasterwerk'!$F63)*IF(NOT(ISBLANK('Eingabe EF'!$AE48)),'Eingabe EF'!$AE48,0)*IF(NOT(ISBLANK('Referenz Pflasterwerk'!$I$12)),'Referenz Pflasterwerk'!$I$12,'Referenz Pflasterwerk'!$F$12)</f>
        <v>0</v>
      </c>
      <c r="H188" s="38">
        <f>IF(NOT(ISBLANK('Referenz Pflasterwerk'!$I63)),'Referenz Pflasterwerk'!$I63,'Referenz Pflasterwerk'!$F63)*IF(NOT(ISBLANK('Eingabe EF'!$AI48)),'Eingabe EF'!$AI48,0)*IF(NOT(ISBLANK('Referenz Pflasterwerk'!$I$12)),'Referenz Pflasterwerk'!$I$12,'Referenz Pflasterwerk'!$F$12)</f>
        <v>0</v>
      </c>
      <c r="I188" s="17"/>
      <c r="J188" s="38">
        <f t="shared" si="37"/>
        <v>0</v>
      </c>
      <c r="K188" s="38">
        <f t="shared" ref="K188:K190" si="39">SUM(F188:H188)</f>
        <v>0</v>
      </c>
      <c r="L188" s="17" t="s">
        <v>199</v>
      </c>
      <c r="M188" s="43"/>
      <c r="N188" s="43"/>
      <c r="O188" s="43"/>
      <c r="P188" s="43"/>
      <c r="Q188" s="43"/>
      <c r="R188" s="43"/>
      <c r="S188" s="43"/>
    </row>
    <row r="189" spans="2:19" ht="15.75" hidden="1" outlineLevel="1" x14ac:dyDescent="0.3">
      <c r="B189" s="17"/>
      <c r="C189" s="17"/>
      <c r="D189" s="17" t="s">
        <v>63</v>
      </c>
      <c r="E189" s="17"/>
      <c r="F189" s="38">
        <f>IF(NOT(ISBLANK('Referenz Pflasterwerk'!$I64)),'Referenz Pflasterwerk'!$I64,'Referenz Pflasterwerk'!$F64)*IF(NOT(ISBLANK('Eingabe EF'!$AA49)),'Eingabe EF'!$AA49,'Eingabe EF'!$Y49)*IF(NOT(ISBLANK('Referenz Pflasterwerk'!$I$12)),'Referenz Pflasterwerk'!$I$12,'Referenz Pflasterwerk'!$F$12)</f>
        <v>0</v>
      </c>
      <c r="G189" s="38">
        <f>IF(NOT(ISBLANK('Referenz Pflasterwerk'!$I64)),'Referenz Pflasterwerk'!$I64,'Referenz Pflasterwerk'!$F64)*IF(NOT(ISBLANK('Eingabe EF'!$AE49)),'Eingabe EF'!$AE49,'Eingabe EF'!$AC49)*IF(NOT(ISBLANK('Referenz Pflasterwerk'!$I$12)),'Referenz Pflasterwerk'!$I$12,'Referenz Pflasterwerk'!$F$12)</f>
        <v>0</v>
      </c>
      <c r="H189" s="38">
        <f>IF(NOT(ISBLANK('Referenz Pflasterwerk'!$I64)),'Referenz Pflasterwerk'!$I64,'Referenz Pflasterwerk'!$F64)*IF(NOT(ISBLANK('Eingabe EF'!$AI49)),'Eingabe EF'!$AI49,'Eingabe EF'!$AG49)*IF(NOT(ISBLANK('Referenz Pflasterwerk'!$I$12)),'Referenz Pflasterwerk'!$I$12,'Referenz Pflasterwerk'!$F$12)</f>
        <v>0</v>
      </c>
      <c r="I189" s="17"/>
      <c r="J189" s="38">
        <f t="shared" si="37"/>
        <v>0</v>
      </c>
      <c r="K189" s="38">
        <f t="shared" si="39"/>
        <v>0</v>
      </c>
      <c r="L189" s="17" t="s">
        <v>199</v>
      </c>
      <c r="M189" s="43"/>
      <c r="N189" s="43"/>
      <c r="O189" s="43"/>
      <c r="P189" s="43"/>
      <c r="Q189" s="43"/>
      <c r="R189" s="43"/>
      <c r="S189" s="43"/>
    </row>
    <row r="190" spans="2:19" ht="15.75" hidden="1" outlineLevel="1" x14ac:dyDescent="0.3">
      <c r="B190" s="17"/>
      <c r="C190" s="17"/>
      <c r="D190" s="17" t="s">
        <v>185</v>
      </c>
      <c r="E190" s="17"/>
      <c r="F190" s="38">
        <f>IF(NOT(ISBLANK('Referenz Pflasterwerk'!$I65)),'Referenz Pflasterwerk'!$I65,'Referenz Pflasterwerk'!$F65)*IF(NOT(ISBLANK('Eingabe EF'!$AA50)),'Eingabe EF'!$AA50,0)*IF(NOT(ISBLANK('Referenz Pflasterwerk'!$I$12)),'Referenz Pflasterwerk'!$I$12,'Referenz Pflasterwerk'!$F$12)</f>
        <v>0</v>
      </c>
      <c r="G190" s="38">
        <f>IF(NOT(ISBLANK('Referenz Pflasterwerk'!$I65)),'Referenz Pflasterwerk'!$I65,'Referenz Pflasterwerk'!$F65)*IF(NOT(ISBLANK('Eingabe EF'!$AE50)),'Eingabe EF'!$AE50,0)*IF(NOT(ISBLANK('Referenz Pflasterwerk'!$I$12)),'Referenz Pflasterwerk'!$I$12,'Referenz Pflasterwerk'!$F$12)</f>
        <v>0</v>
      </c>
      <c r="H190" s="38">
        <f>IF(NOT(ISBLANK('Referenz Pflasterwerk'!$I65)),'Referenz Pflasterwerk'!$I65,'Referenz Pflasterwerk'!$F65)*IF(NOT(ISBLANK('Eingabe EF'!$AI50)),'Eingabe EF'!$AI50,0)*IF(NOT(ISBLANK('Referenz Pflasterwerk'!$I$12)),'Referenz Pflasterwerk'!$I$12,'Referenz Pflasterwerk'!$F$12)</f>
        <v>0</v>
      </c>
      <c r="I190" s="17"/>
      <c r="J190" s="38">
        <f t="shared" si="37"/>
        <v>0</v>
      </c>
      <c r="K190" s="38">
        <f t="shared" si="39"/>
        <v>0</v>
      </c>
      <c r="L190" s="17" t="s">
        <v>199</v>
      </c>
      <c r="M190" s="43"/>
      <c r="N190" s="43"/>
      <c r="O190" s="43"/>
      <c r="P190" s="43"/>
      <c r="Q190" s="43"/>
      <c r="R190" s="43"/>
      <c r="S190" s="43"/>
    </row>
    <row r="191" spans="2:19" hidden="1" outlineLevel="1" x14ac:dyDescent="0.2">
      <c r="B191" s="17"/>
      <c r="C191" s="17"/>
      <c r="D191" s="17"/>
      <c r="E191" s="17"/>
      <c r="F191" s="20"/>
      <c r="G191" s="20"/>
      <c r="H191" s="20"/>
      <c r="I191" s="17"/>
      <c r="J191" s="17"/>
      <c r="K191" s="17"/>
      <c r="L191" s="20"/>
      <c r="M191" s="43"/>
      <c r="N191" s="43"/>
      <c r="O191" s="43"/>
      <c r="P191" s="43"/>
      <c r="Q191" s="43"/>
      <c r="R191" s="43"/>
      <c r="S191" s="43"/>
    </row>
    <row r="192" spans="2:19" ht="14.25" hidden="1" outlineLevel="1" x14ac:dyDescent="0.25">
      <c r="B192" s="69"/>
      <c r="C192" s="69" t="s">
        <v>186</v>
      </c>
      <c r="D192" s="70"/>
      <c r="E192" s="70"/>
      <c r="F192" s="71">
        <f>SUM(F193:F195)</f>
        <v>0</v>
      </c>
      <c r="G192" s="71">
        <f>SUM(G193:G195)</f>
        <v>0</v>
      </c>
      <c r="H192" s="71">
        <f>SUM(H193:H195)</f>
        <v>0</v>
      </c>
      <c r="I192" s="70"/>
      <c r="J192" s="71">
        <f>F192+G192</f>
        <v>0</v>
      </c>
      <c r="K192" s="71">
        <f t="shared" ref="K192" si="40">SUM(F192:H192)</f>
        <v>0</v>
      </c>
      <c r="L192" s="76" t="s">
        <v>198</v>
      </c>
      <c r="M192" s="43"/>
      <c r="N192" s="43"/>
      <c r="O192" s="43"/>
      <c r="P192" s="43"/>
      <c r="Q192" s="43"/>
      <c r="R192" s="43"/>
      <c r="S192" s="43"/>
    </row>
    <row r="193" spans="2:20" ht="15.75" hidden="1" outlineLevel="1" x14ac:dyDescent="0.3">
      <c r="B193" s="17"/>
      <c r="C193" s="17"/>
      <c r="D193" s="17" t="s">
        <v>67</v>
      </c>
      <c r="E193" s="17"/>
      <c r="F193" s="38">
        <f>IF(NOT(ISBLANK('Referenz Pflasterwerk'!$I68)),'Referenz Pflasterwerk'!$I68,'Referenz Pflasterwerk'!$F68)*IF(NOT(ISBLANK('Eingabe EF'!$AA53)),'Eingabe EF'!$AA53,'Eingabe EF'!$Y53)</f>
        <v>0</v>
      </c>
      <c r="G193" s="38">
        <f>IF(NOT(ISBLANK('Referenz Pflasterwerk'!$I68)),'Referenz Pflasterwerk'!$I68,'Referenz Pflasterwerk'!$F68)*IF(NOT(ISBLANK('Eingabe EF'!$AE53)),'Eingabe EF'!$AE53,'Eingabe EF'!$AC53)</f>
        <v>0</v>
      </c>
      <c r="H193" s="38">
        <f>IF(NOT(ISBLANK('Referenz Pflasterwerk'!$I68)),'Referenz Pflasterwerk'!$I68,'Referenz Pflasterwerk'!$F68)*IF(NOT(ISBLANK('Eingabe EF'!$AI53)),'Eingabe EF'!$AI53,'Eingabe EF'!$AG53)</f>
        <v>0</v>
      </c>
      <c r="I193" s="17"/>
      <c r="J193" s="38">
        <f>F193+G193</f>
        <v>0</v>
      </c>
      <c r="K193" s="38">
        <f>SUM(F193:H193)</f>
        <v>0</v>
      </c>
      <c r="L193" s="17" t="s">
        <v>199</v>
      </c>
      <c r="M193" s="43"/>
      <c r="N193" s="43"/>
      <c r="O193" s="43"/>
      <c r="P193" s="43"/>
      <c r="Q193" s="43"/>
      <c r="R193" s="43"/>
      <c r="S193" s="43"/>
    </row>
    <row r="194" spans="2:20" ht="15.75" hidden="1" outlineLevel="1" x14ac:dyDescent="0.3">
      <c r="B194" s="17"/>
      <c r="C194" s="17"/>
      <c r="D194" s="17" t="s">
        <v>188</v>
      </c>
      <c r="E194" s="17"/>
      <c r="F194" s="38">
        <f>IF(NOT(ISBLANK('Referenz Pflasterwerk'!$I69)),'Referenz Pflasterwerk'!$I69,'Referenz Pflasterwerk'!$F69)*IF(NOT(ISBLANK('Eingabe EF'!$AA54)),'Eingabe EF'!$AA54,0)</f>
        <v>0</v>
      </c>
      <c r="G194" s="38">
        <f>IF(NOT(ISBLANK('Referenz Pflasterwerk'!$I69)),'Referenz Pflasterwerk'!$I69,'Referenz Pflasterwerk'!$F69)*IF(NOT(ISBLANK('Eingabe EF'!$AE54)),'Eingabe EF'!$AE54,0)</f>
        <v>0</v>
      </c>
      <c r="H194" s="38">
        <f>IF(NOT(ISBLANK('Referenz Pflasterwerk'!$I69)),'Referenz Pflasterwerk'!$I69,'Referenz Pflasterwerk'!$F69)*IF(NOT(ISBLANK('Eingabe EF'!$AI54)),'Eingabe EF'!$AI54,0)</f>
        <v>0</v>
      </c>
      <c r="I194" s="17"/>
      <c r="J194" s="38">
        <f t="shared" ref="J194:J195" si="41">F194+G194</f>
        <v>0</v>
      </c>
      <c r="K194" s="38">
        <f t="shared" ref="K194:K195" si="42">SUM(F194:H194)</f>
        <v>0</v>
      </c>
      <c r="L194" s="17" t="s">
        <v>199</v>
      </c>
      <c r="M194" s="43"/>
      <c r="N194" s="43"/>
      <c r="O194" s="43"/>
      <c r="P194" s="43"/>
      <c r="Q194" s="43"/>
      <c r="R194" s="43"/>
      <c r="S194" s="43"/>
    </row>
    <row r="195" spans="2:20" ht="15.75" hidden="1" outlineLevel="1" x14ac:dyDescent="0.3">
      <c r="B195" s="17"/>
      <c r="C195" s="17"/>
      <c r="D195" s="17" t="s">
        <v>187</v>
      </c>
      <c r="E195" s="17"/>
      <c r="F195" s="38">
        <f>IF(NOT(ISBLANK('Referenz Pflasterwerk'!$I70)),'Referenz Pflasterwerk'!$I70,'Referenz Pflasterwerk'!$F70)*IF(NOT(ISBLANK('Eingabe EF'!$AA55)),'Eingabe EF'!$AA55,0)</f>
        <v>0</v>
      </c>
      <c r="G195" s="38">
        <f>IF(NOT(ISBLANK('Referenz Pflasterwerk'!$I70)),'Referenz Pflasterwerk'!$I70,'Referenz Pflasterwerk'!$F70)*IF(NOT(ISBLANK('Eingabe EF'!$AE55)),'Eingabe EF'!$AE55,0)</f>
        <v>0</v>
      </c>
      <c r="H195" s="38">
        <f>IF(NOT(ISBLANK('Referenz Pflasterwerk'!$I70)),'Referenz Pflasterwerk'!$I70,'Referenz Pflasterwerk'!$F70)*IF(NOT(ISBLANK('Eingabe EF'!$AI55)),'Eingabe EF'!$AI55,0)</f>
        <v>0</v>
      </c>
      <c r="I195" s="17"/>
      <c r="J195" s="38">
        <f t="shared" si="41"/>
        <v>0</v>
      </c>
      <c r="K195" s="38">
        <f t="shared" si="42"/>
        <v>0</v>
      </c>
      <c r="L195" s="17" t="s">
        <v>199</v>
      </c>
      <c r="M195" s="43"/>
      <c r="N195" s="43"/>
      <c r="O195" s="43"/>
      <c r="P195" s="43"/>
      <c r="Q195" s="43"/>
      <c r="R195" s="43"/>
      <c r="S195" s="43"/>
    </row>
    <row r="196" spans="2:20" hidden="1" outlineLevel="1" x14ac:dyDescent="0.2">
      <c r="B196" s="17"/>
      <c r="C196" s="17"/>
      <c r="D196" s="17"/>
      <c r="E196" s="17"/>
      <c r="F196" s="20"/>
      <c r="G196" s="20"/>
      <c r="H196" s="20"/>
      <c r="I196" s="17"/>
      <c r="J196" s="17"/>
      <c r="K196" s="17"/>
      <c r="L196" s="20"/>
      <c r="M196" s="43"/>
      <c r="N196" s="43"/>
      <c r="O196" s="43"/>
      <c r="P196" s="43"/>
      <c r="Q196" s="43"/>
      <c r="R196" s="43"/>
      <c r="S196" s="43"/>
    </row>
    <row r="197" spans="2:20" ht="14.25" hidden="1" outlineLevel="1" x14ac:dyDescent="0.25">
      <c r="B197" s="17"/>
      <c r="C197" s="17"/>
      <c r="D197" s="21" t="s">
        <v>64</v>
      </c>
      <c r="E197" s="21"/>
      <c r="F197" s="74">
        <f>IF(NOT(ISBLANK('Referenz Pflasterwerk'!$I72)),'Referenz Pflasterwerk'!$I72,'Referenz Pflasterwerk'!$F72)*IF(NOT(ISBLANK('Eingabe EF'!$AA57)),'Eingabe EF'!$AA57,'Eingabe EF'!$Y57)</f>
        <v>0</v>
      </c>
      <c r="G197" s="74">
        <f>IF(NOT(ISBLANK('Referenz Pflasterwerk'!$I72)),'Referenz Pflasterwerk'!$I72,'Referenz Pflasterwerk'!$F72)*IF(NOT(ISBLANK('Eingabe EF'!$AE57)),'Eingabe EF'!$AE57,'Eingabe EF'!$AC57)</f>
        <v>0</v>
      </c>
      <c r="H197" s="74">
        <f>IF(NOT(ISBLANK('Referenz Pflasterwerk'!$I72)),'Referenz Pflasterwerk'!$I72,'Referenz Pflasterwerk'!$F72)*IF(NOT(ISBLANK('Eingabe EF'!$AI57)),'Eingabe EF'!$AI57,'Eingabe EF'!$AG57)</f>
        <v>161.20000000000002</v>
      </c>
      <c r="I197" s="21"/>
      <c r="J197" s="74">
        <f t="shared" ref="J197" si="43">F197+G197</f>
        <v>0</v>
      </c>
      <c r="K197" s="74">
        <f t="shared" ref="K197" si="44">SUM(F197:H197)</f>
        <v>161.20000000000002</v>
      </c>
      <c r="L197" s="21" t="s">
        <v>198</v>
      </c>
      <c r="M197" s="43"/>
      <c r="N197" s="43"/>
      <c r="O197" s="43"/>
      <c r="P197" s="43"/>
      <c r="Q197" s="43"/>
      <c r="R197" s="43"/>
      <c r="S197" s="43"/>
    </row>
    <row r="198" spans="2:20" hidden="1" outlineLevel="1" x14ac:dyDescent="0.2">
      <c r="B198" s="17"/>
      <c r="C198" s="17"/>
      <c r="D198" s="17"/>
      <c r="E198" s="17"/>
      <c r="F198" s="20"/>
      <c r="G198" s="20"/>
      <c r="H198" s="20"/>
      <c r="I198" s="17"/>
      <c r="J198" s="17"/>
      <c r="K198" s="17"/>
      <c r="L198" s="20"/>
      <c r="M198" s="43"/>
      <c r="N198" s="43"/>
      <c r="O198" s="43"/>
      <c r="P198" s="43"/>
      <c r="Q198" s="43"/>
      <c r="R198" s="43"/>
      <c r="S198" s="43"/>
    </row>
    <row r="199" spans="2:20" ht="15" hidden="1" outlineLevel="1" thickBot="1" x14ac:dyDescent="0.3">
      <c r="B199" s="17"/>
      <c r="C199" s="17"/>
      <c r="D199" s="67" t="s">
        <v>70</v>
      </c>
      <c r="E199" s="67"/>
      <c r="F199" s="68">
        <f>SUM(F142:F197)-F156-F160-F166-F173-F178-F187-F192</f>
        <v>106.60088015999999</v>
      </c>
      <c r="G199" s="68">
        <f>SUM(G142:G197)-G156-G160-G166-G173-G178-G187-G192</f>
        <v>0</v>
      </c>
      <c r="H199" s="68">
        <f>SUM(H142:H197)-H156-H160-H166-H173-H178-H187-H192</f>
        <v>10509.215460446898</v>
      </c>
      <c r="I199" s="21"/>
      <c r="J199" s="68">
        <f t="shared" ref="J199" si="45">SUM(J142:J197)-J156-J160-J166-J173-J178-J187-J192</f>
        <v>106.60088015999999</v>
      </c>
      <c r="K199" s="68">
        <f>SUM(K142:K197)-K156-K160-K166-K173-K178-K187-K192</f>
        <v>10615.816340606898</v>
      </c>
      <c r="L199" s="68" t="s">
        <v>198</v>
      </c>
      <c r="M199" s="43"/>
      <c r="N199" s="43"/>
      <c r="O199" s="43"/>
      <c r="P199" s="43"/>
      <c r="Q199" s="43"/>
      <c r="R199" s="43"/>
      <c r="S199" s="43"/>
    </row>
    <row r="200" spans="2:20" ht="13.5" hidden="1" outlineLevel="1" thickTop="1" x14ac:dyDescent="0.2">
      <c r="B200" s="17"/>
      <c r="C200" s="17"/>
      <c r="D200" s="17"/>
      <c r="E200" s="17"/>
      <c r="F200" s="20"/>
      <c r="G200" s="20"/>
      <c r="H200" s="20"/>
      <c r="I200" s="17"/>
      <c r="J200" s="17"/>
      <c r="K200" s="17"/>
      <c r="L200" s="20"/>
      <c r="M200" s="43"/>
      <c r="N200" s="43"/>
      <c r="O200" s="43"/>
      <c r="P200" s="43"/>
      <c r="Q200" s="43"/>
      <c r="R200" s="43"/>
      <c r="S200" s="43"/>
    </row>
    <row r="201" spans="2:20" collapsed="1" x14ac:dyDescent="0.2"/>
    <row r="203" spans="2:20" ht="15.75" hidden="1" outlineLevel="1" x14ac:dyDescent="0.25">
      <c r="B203" s="22"/>
      <c r="C203" s="22" t="s">
        <v>117</v>
      </c>
      <c r="D203" s="17"/>
      <c r="E203" s="17"/>
      <c r="F203" s="17"/>
      <c r="G203" s="17"/>
      <c r="H203" s="17"/>
      <c r="I203" s="17"/>
      <c r="J203" s="17"/>
      <c r="K203" s="17"/>
      <c r="L203" s="17"/>
      <c r="N203" s="22" t="s">
        <v>120</v>
      </c>
      <c r="O203" s="17"/>
      <c r="P203" s="17"/>
      <c r="Q203" s="17"/>
      <c r="R203" s="17"/>
      <c r="S203" s="17"/>
      <c r="T203" s="17"/>
    </row>
    <row r="204" spans="2:20" ht="15" hidden="1" outlineLevel="1" x14ac:dyDescent="0.25">
      <c r="B204" s="64"/>
      <c r="C204" s="64">
        <v>2030</v>
      </c>
      <c r="D204" s="25"/>
      <c r="E204" s="25"/>
      <c r="F204" s="36" t="s">
        <v>27</v>
      </c>
      <c r="G204" s="36" t="s">
        <v>85</v>
      </c>
      <c r="H204" s="36" t="s">
        <v>29</v>
      </c>
      <c r="I204" s="25"/>
      <c r="J204" s="25"/>
      <c r="K204" s="25"/>
      <c r="L204" s="25"/>
      <c r="N204" s="64">
        <v>2030</v>
      </c>
      <c r="O204" s="17"/>
      <c r="P204" s="17"/>
      <c r="Q204" s="17"/>
      <c r="R204" s="17"/>
      <c r="S204" s="17"/>
      <c r="T204" s="17"/>
    </row>
    <row r="205" spans="2:20" hidden="1" outlineLevel="1" x14ac:dyDescent="0.2">
      <c r="B205" s="17"/>
      <c r="C205" s="17"/>
      <c r="D205" s="17" t="s">
        <v>245</v>
      </c>
      <c r="E205" s="306" t="str">
        <f>IF(NOT(ISBLANK($G$16)),$G$16,$E$16)</f>
        <v>Grünstrommix</v>
      </c>
      <c r="F205" s="307">
        <f>VLOOKUP(E205,D206:H209,3,FALSE)</f>
        <v>0</v>
      </c>
      <c r="G205" s="308">
        <f>VLOOKUP(E205,D206:H209,4,FALSE)</f>
        <v>0</v>
      </c>
      <c r="H205" s="308">
        <f>VLOOKUP(E205,D206:H209,5,FALSE)</f>
        <v>4.0790000000000001E-5</v>
      </c>
      <c r="I205" s="17"/>
      <c r="J205" s="17"/>
      <c r="K205" s="17"/>
      <c r="L205" s="17"/>
      <c r="N205" s="17"/>
      <c r="O205" s="17"/>
      <c r="P205" s="17"/>
      <c r="Q205" s="17"/>
      <c r="R205" s="17"/>
      <c r="S205" s="17"/>
      <c r="T205" s="17"/>
    </row>
    <row r="206" spans="2:20" hidden="1" outlineLevel="1" x14ac:dyDescent="0.2">
      <c r="B206" s="17"/>
      <c r="C206" s="17" t="s">
        <v>244</v>
      </c>
      <c r="D206" s="17" t="s">
        <v>242</v>
      </c>
      <c r="E206" s="30"/>
      <c r="F206" s="309">
        <v>0</v>
      </c>
      <c r="G206" s="310">
        <f>IF(NOT(ISBLANK('Eingabe EF'!AW60)),'Eingabe EF'!AW60,'Eingabe EF'!AU60)</f>
        <v>0</v>
      </c>
      <c r="H206" s="310">
        <f>IF(NOT(ISBLANK('Eingabe EF'!BA60)),'Eingabe EF'!BA60,'Eingabe EF'!AY60)</f>
        <v>4.0790000000000001E-5</v>
      </c>
      <c r="I206" s="17"/>
      <c r="J206" s="17"/>
      <c r="K206" s="17"/>
      <c r="L206" s="17"/>
      <c r="N206" s="17"/>
      <c r="O206" s="17"/>
      <c r="P206" s="17"/>
      <c r="Q206" s="17"/>
      <c r="R206" s="17"/>
      <c r="S206" s="17"/>
      <c r="T206" s="17"/>
    </row>
    <row r="207" spans="2:20" hidden="1" outlineLevel="1" x14ac:dyDescent="0.2">
      <c r="B207" s="17"/>
      <c r="C207" s="17" t="s">
        <v>244</v>
      </c>
      <c r="D207" s="17" t="s">
        <v>111</v>
      </c>
      <c r="E207" s="30"/>
      <c r="F207" s="309">
        <v>0</v>
      </c>
      <c r="G207" s="309">
        <f>IF(NOT(ISBLANK('Eingabe EF'!AW61)),'Eingabe EF'!AW61,'Eingabe EF'!AU61)</f>
        <v>0</v>
      </c>
      <c r="H207" s="310">
        <f>IF(NOT(ISBLANK('Eingabe EF'!BA61)),'Eingabe EF'!BA61,'Eingabe EF'!AY61)</f>
        <v>5.5713999999999995E-5</v>
      </c>
      <c r="I207" s="17"/>
      <c r="J207" s="17"/>
      <c r="K207" s="17"/>
      <c r="L207" s="17"/>
      <c r="N207" s="17"/>
      <c r="O207" s="17"/>
      <c r="P207" s="17"/>
      <c r="Q207" s="17"/>
      <c r="R207" s="17"/>
      <c r="S207" s="17"/>
      <c r="T207" s="17"/>
    </row>
    <row r="208" spans="2:20" hidden="1" outlineLevel="1" x14ac:dyDescent="0.2">
      <c r="B208" s="17"/>
      <c r="C208" s="17" t="s">
        <v>244</v>
      </c>
      <c r="D208" s="17" t="s">
        <v>112</v>
      </c>
      <c r="E208" s="30"/>
      <c r="F208" s="309">
        <v>0</v>
      </c>
      <c r="G208" s="309">
        <f>IF(NOT(ISBLANK('Eingabe EF'!AW62)),'Eingabe EF'!AW62,'Eingabe EF'!AU62)</f>
        <v>0</v>
      </c>
      <c r="H208" s="310">
        <f>IF(NOT(ISBLANK('Eingabe EF'!BA62)),'Eingabe EF'!BA62,'Eingabe EF'!AY62)</f>
        <v>1.5335600000000003E-5</v>
      </c>
      <c r="I208" s="17"/>
      <c r="J208" s="17"/>
      <c r="K208" s="17"/>
      <c r="L208" s="17"/>
      <c r="N208" s="17"/>
      <c r="O208" s="17"/>
      <c r="P208" s="17"/>
      <c r="Q208" s="17"/>
      <c r="R208" s="17"/>
      <c r="S208" s="17"/>
      <c r="T208" s="17"/>
    </row>
    <row r="209" spans="2:20" hidden="1" outlineLevel="1" x14ac:dyDescent="0.2">
      <c r="B209" s="17"/>
      <c r="C209" s="17" t="s">
        <v>244</v>
      </c>
      <c r="D209" s="17" t="s">
        <v>113</v>
      </c>
      <c r="E209" s="30"/>
      <c r="F209" s="38">
        <v>0</v>
      </c>
      <c r="G209" s="38">
        <f>IF(NOT(ISBLANK('Eingabe EF'!AW63)),'Eingabe EF'!AW63,'Eingabe EF'!AU63)</f>
        <v>0</v>
      </c>
      <c r="H209" s="310">
        <f>IF(NOT(ISBLANK('Eingabe EF'!BA63)),'Eingabe EF'!BA63,'Eingabe EF'!AY63)</f>
        <v>2.65E-6</v>
      </c>
      <c r="I209" s="17"/>
      <c r="J209" s="17"/>
      <c r="K209" s="17"/>
      <c r="L209" s="17"/>
      <c r="N209" s="17"/>
      <c r="O209" s="17"/>
      <c r="P209" s="17"/>
      <c r="Q209" s="17"/>
      <c r="R209" s="17"/>
      <c r="S209" s="17"/>
      <c r="T209" s="17"/>
    </row>
    <row r="210" spans="2:20" hidden="1" outlineLevel="1" x14ac:dyDescent="0.2">
      <c r="B210" s="17"/>
      <c r="C210" s="17"/>
      <c r="D210" s="17"/>
      <c r="E210" s="30"/>
      <c r="F210" s="30"/>
      <c r="G210" s="30"/>
      <c r="H210" s="30"/>
      <c r="I210" s="17"/>
      <c r="J210" s="17"/>
      <c r="K210" s="17"/>
      <c r="L210" s="17"/>
      <c r="N210" s="17"/>
      <c r="O210" s="17"/>
      <c r="P210" s="17"/>
      <c r="Q210" s="17"/>
      <c r="R210" s="17"/>
      <c r="S210" s="17"/>
      <c r="T210" s="17"/>
    </row>
    <row r="211" spans="2:20" hidden="1" outlineLevel="1" x14ac:dyDescent="0.2">
      <c r="B211" s="17"/>
      <c r="C211" s="17"/>
      <c r="D211" s="17"/>
      <c r="E211" s="17"/>
      <c r="F211" s="17"/>
      <c r="G211" s="17"/>
      <c r="H211" s="17"/>
      <c r="I211" s="17"/>
      <c r="J211" s="17"/>
      <c r="K211" s="17"/>
      <c r="L211" s="17"/>
      <c r="N211" s="17"/>
      <c r="O211" s="17"/>
      <c r="P211" s="17"/>
      <c r="Q211" s="17"/>
      <c r="R211" s="17"/>
      <c r="S211" s="17"/>
      <c r="T211" s="17"/>
    </row>
    <row r="212" spans="2:20" ht="25.5" hidden="1" outlineLevel="1" x14ac:dyDescent="0.2">
      <c r="B212" s="17"/>
      <c r="C212" s="17"/>
      <c r="D212" s="17"/>
      <c r="E212" s="17"/>
      <c r="F212" s="36" t="s">
        <v>27</v>
      </c>
      <c r="G212" s="36" t="s">
        <v>85</v>
      </c>
      <c r="H212" s="36" t="s">
        <v>29</v>
      </c>
      <c r="I212" s="17"/>
      <c r="J212" s="40" t="s">
        <v>114</v>
      </c>
      <c r="K212" s="41" t="s">
        <v>40</v>
      </c>
      <c r="L212" s="17"/>
      <c r="N212" s="17"/>
      <c r="O212" s="17"/>
      <c r="P212" s="17"/>
      <c r="Q212" s="18"/>
      <c r="R212" s="17"/>
      <c r="S212" s="18"/>
      <c r="T212" s="18"/>
    </row>
    <row r="213" spans="2:20" ht="14.25" hidden="1" outlineLevel="1" x14ac:dyDescent="0.25">
      <c r="B213" s="76"/>
      <c r="C213" s="76" t="s">
        <v>191</v>
      </c>
      <c r="D213" s="76"/>
      <c r="E213" s="76"/>
      <c r="F213" s="77">
        <f>SUM(F215:F228)</f>
        <v>106.60088015999999</v>
      </c>
      <c r="G213" s="77">
        <f>SUM(G215:G228)</f>
        <v>0</v>
      </c>
      <c r="H213" s="77">
        <f>SUM(H215:H228)</f>
        <v>49.305472560000005</v>
      </c>
      <c r="I213" s="76"/>
      <c r="J213" s="77">
        <f>F213+G213</f>
        <v>106.60088015999999</v>
      </c>
      <c r="K213" s="77">
        <f>SUM(F213:H213)</f>
        <v>155.90635272</v>
      </c>
      <c r="L213" s="76" t="s">
        <v>198</v>
      </c>
      <c r="N213" s="17"/>
      <c r="O213" s="17"/>
      <c r="P213" s="17"/>
      <c r="Q213" s="18"/>
      <c r="R213" s="17"/>
      <c r="S213" s="18"/>
      <c r="T213" s="18"/>
    </row>
    <row r="214" spans="2:20" hidden="1" outlineLevel="1" x14ac:dyDescent="0.2">
      <c r="B214" s="17"/>
      <c r="C214" s="17" t="s">
        <v>148</v>
      </c>
      <c r="D214" s="17"/>
      <c r="E214" s="17"/>
      <c r="F214" s="17"/>
      <c r="G214" s="17"/>
      <c r="H214" s="17"/>
      <c r="I214" s="17"/>
      <c r="J214" s="17"/>
      <c r="K214" s="17"/>
      <c r="L214" s="17"/>
      <c r="N214" s="17" t="s">
        <v>148</v>
      </c>
      <c r="O214" s="17"/>
      <c r="P214" s="17"/>
      <c r="Q214" s="18"/>
      <c r="R214" s="17"/>
      <c r="S214" s="18"/>
      <c r="T214" s="18"/>
    </row>
    <row r="215" spans="2:20" ht="15.75" hidden="1" outlineLevel="1" x14ac:dyDescent="0.3">
      <c r="B215" s="302"/>
      <c r="C215" s="17"/>
      <c r="D215" s="17" t="s">
        <v>128</v>
      </c>
      <c r="E215" s="17"/>
      <c r="F215" s="38">
        <f>IF(NOT(ISBLANK('Referenz Pflasterwerk'!$I16)),'Referenz Pflasterwerk'!$I16,'Referenz Pflasterwerk'!$F16)*IF(NOT(ISBLANK('Eingabe EF'!$AS9)),'Eingabe EF'!$AS9,'Eingabe EF'!$AQ9)</f>
        <v>1.6484399999999999</v>
      </c>
      <c r="G215" s="38">
        <f>IF(NOT(ISBLANK('Referenz Pflasterwerk'!$I16)),'Referenz Pflasterwerk'!$I16,'Referenz Pflasterwerk'!$F16)*IF(NOT(ISBLANK('Eingabe EF'!$AW9)),'Eingabe EF'!$AW9,'Eingabe EF'!$AU9)</f>
        <v>0</v>
      </c>
      <c r="H215" s="38">
        <f>IF(NOT(ISBLANK('Referenz Pflasterwerk'!$I16)),'Referenz Pflasterwerk'!$I16,'Referenz Pflasterwerk'!$F16)*IF(NOT(ISBLANK('Eingabe EF'!$BA9)),'Eingabe EF'!$BA9,'Eingabe EF'!$AY9)</f>
        <v>0.28215000000000001</v>
      </c>
      <c r="I215" s="17"/>
      <c r="J215" s="38">
        <f>F215+G215</f>
        <v>1.6484399999999999</v>
      </c>
      <c r="K215" s="38">
        <f>SUM(F215:H215)</f>
        <v>1.93059</v>
      </c>
      <c r="L215" s="17" t="s">
        <v>199</v>
      </c>
      <c r="N215" s="302"/>
      <c r="O215" s="17" t="s">
        <v>128</v>
      </c>
      <c r="P215" s="17"/>
      <c r="Q215" s="19"/>
      <c r="R215" s="17"/>
      <c r="S215" s="42">
        <f>IF(NOT(ISBLANK('Referenz Pflasterwerk'!$I16)),'Referenz Pflasterwerk'!$I16,'Referenz Pflasterwerk'!$F16)/1000*IF(NOT(ISBLANK('Eingabe Preise'!$O10)),'Eingabe Preise'!$O10,'Eingabe Preise'!$M10)</f>
        <v>549</v>
      </c>
      <c r="T215" s="20" t="s">
        <v>109</v>
      </c>
    </row>
    <row r="216" spans="2:20" ht="15.75" hidden="1" outlineLevel="1" x14ac:dyDescent="0.3">
      <c r="B216" s="302"/>
      <c r="C216" s="17"/>
      <c r="D216" s="17" t="s">
        <v>166</v>
      </c>
      <c r="E216" s="17"/>
      <c r="F216" s="38">
        <f>IF(NOT(ISBLANK('Referenz Pflasterwerk'!$I17)),'Referenz Pflasterwerk'!$I17,'Referenz Pflasterwerk'!$F17)*IF(NOT(ISBLANK('Eingabe EF'!$AS10)),'Eingabe EF'!$AS10,'Eingabe EF'!$AQ10)</f>
        <v>0.53351999999999999</v>
      </c>
      <c r="G216" s="38">
        <f>IF(NOT(ISBLANK('Referenz Pflasterwerk'!$I17)),'Referenz Pflasterwerk'!$I17,'Referenz Pflasterwerk'!$F17)*IF(NOT(ISBLANK('Eingabe EF'!$AW10)),'Eingabe EF'!$AW10,'Eingabe EF'!$AU10)</f>
        <v>0</v>
      </c>
      <c r="H216" s="38">
        <f>IF(NOT(ISBLANK('Referenz Pflasterwerk'!$I17)),'Referenz Pflasterwerk'!$I17,'Referenz Pflasterwerk'!$F17)*IF(NOT(ISBLANK('Eingabe EF'!$BA10)),'Eingabe EF'!$BA10,'Eingabe EF'!$AY10)</f>
        <v>7.9152E-2</v>
      </c>
      <c r="I216" s="17"/>
      <c r="J216" s="38">
        <f>F216+G216</f>
        <v>0.53351999999999999</v>
      </c>
      <c r="K216" s="38">
        <f>SUM(F216:H216)</f>
        <v>0.61267199999999999</v>
      </c>
      <c r="L216" s="17" t="s">
        <v>199</v>
      </c>
      <c r="N216" s="302"/>
      <c r="O216" s="17" t="s">
        <v>166</v>
      </c>
      <c r="P216" s="17"/>
      <c r="Q216" s="20"/>
      <c r="R216" s="17"/>
      <c r="S216" s="42">
        <f>IF(NOT(ISBLANK('Referenz Pflasterwerk'!$I17)),'Referenz Pflasterwerk'!$I17,'Referenz Pflasterwerk'!$F17)/1000*IF(NOT(ISBLANK('Eingabe Preise'!$O11)),'Eingabe Preise'!$O11,'Eingabe Preise'!$M11)</f>
        <v>92</v>
      </c>
      <c r="T216" s="20" t="s">
        <v>109</v>
      </c>
    </row>
    <row r="217" spans="2:20" ht="15.75" hidden="1" outlineLevel="1" x14ac:dyDescent="0.3">
      <c r="B217" s="302"/>
      <c r="C217" s="17"/>
      <c r="D217" s="17" t="s">
        <v>154</v>
      </c>
      <c r="E217" s="17"/>
      <c r="F217" s="38">
        <f>IF(NOT(ISBLANK('Referenz Pflasterwerk'!$I18)),'Referenz Pflasterwerk'!$I18,'Referenz Pflasterwerk'!$F18)*F205</f>
        <v>0</v>
      </c>
      <c r="G217" s="38">
        <f>IF(NOT(ISBLANK('Referenz Pflasterwerk'!$I18)),'Referenz Pflasterwerk'!$I18,'Referenz Pflasterwerk'!$F18)*G205</f>
        <v>0</v>
      </c>
      <c r="H217" s="38">
        <f>IF(NOT(ISBLANK('Referenz Pflasterwerk'!$I18)),'Referenz Pflasterwerk'!$I18,'Referenz Pflasterwerk'!$F18)*H205</f>
        <v>6.1185</v>
      </c>
      <c r="I217" s="17"/>
      <c r="J217" s="38">
        <f>F217+G217</f>
        <v>0</v>
      </c>
      <c r="K217" s="38">
        <f>SUM(F217:H217)</f>
        <v>6.1185</v>
      </c>
      <c r="L217" s="17" t="s">
        <v>199</v>
      </c>
      <c r="N217" s="302"/>
      <c r="O217" s="17" t="s">
        <v>154</v>
      </c>
      <c r="P217" s="17"/>
      <c r="Q217" s="20"/>
      <c r="R217" s="17"/>
      <c r="S217" s="42">
        <f>IF(NOT(ISBLANK('Referenz Pflasterwerk'!$I18)),'Referenz Pflasterwerk'!$I18,'Referenz Pflasterwerk'!$F18)/1000*IF(NOT(ISBLANK('Eingabe Preise'!$O15)),'Eingabe Preise'!$O15,'Eingabe Preise'!$M15)</f>
        <v>26175</v>
      </c>
      <c r="T217" s="20" t="s">
        <v>109</v>
      </c>
    </row>
    <row r="218" spans="2:20" ht="15.75" hidden="1" outlineLevel="1" x14ac:dyDescent="0.3">
      <c r="B218" s="302"/>
      <c r="C218" s="17"/>
      <c r="D218" s="17" t="s">
        <v>129</v>
      </c>
      <c r="E218" s="17"/>
      <c r="F218" s="44">
        <f>IF(NOT(ISBLANK('Referenz Pflasterwerk'!$I19)),'Referenz Pflasterwerk'!$I19,'Referenz Pflasterwerk'!$F19)*IF(NOT(ISBLANK('Eingabe EF'!$AS12)),'Eingabe EF'!$AS12,0)</f>
        <v>0</v>
      </c>
      <c r="G218" s="44">
        <f>IF(NOT(ISBLANK('Referenz Pflasterwerk'!$I19)),'Referenz Pflasterwerk'!$I19,'Referenz Pflasterwerk'!$F19)*IF(NOT(ISBLANK('Eingabe EF'!$AW12)),'Eingabe EF'!$AW12,0)</f>
        <v>0</v>
      </c>
      <c r="H218" s="44">
        <f>IF(NOT(ISBLANK('Referenz Pflasterwerk'!$I19)),'Referenz Pflasterwerk'!$I19,'Referenz Pflasterwerk'!$F19)*IF(NOT(ISBLANK('Eingabe EF'!$BA12)),'Eingabe EF'!$BA12,0)</f>
        <v>0</v>
      </c>
      <c r="I218" s="17"/>
      <c r="J218" s="38">
        <f>F218+G218</f>
        <v>0</v>
      </c>
      <c r="K218" s="38">
        <f>SUM(F218:H218)</f>
        <v>0</v>
      </c>
      <c r="L218" s="17" t="s">
        <v>199</v>
      </c>
      <c r="N218" s="302"/>
      <c r="O218" s="17" t="s">
        <v>129</v>
      </c>
      <c r="P218" s="17"/>
      <c r="Q218" s="20"/>
      <c r="R218" s="17"/>
      <c r="S218" s="42">
        <f>IF(NOT(ISBLANK('Referenz Pflasterwerk'!$I19)),'Referenz Pflasterwerk'!$I19,'Referenz Pflasterwerk'!$F19)/1000*IF(NOT(ISBLANK('Eingabe Preise'!$O16)),'Eingabe Preise'!$O16,0)</f>
        <v>0</v>
      </c>
      <c r="T218" s="20" t="s">
        <v>109</v>
      </c>
    </row>
    <row r="219" spans="2:20" hidden="1" outlineLevel="1" x14ac:dyDescent="0.2">
      <c r="B219" s="17"/>
      <c r="C219" s="17" t="s">
        <v>149</v>
      </c>
      <c r="D219" s="17"/>
      <c r="E219" s="17"/>
      <c r="F219" s="17"/>
      <c r="G219" s="17"/>
      <c r="H219" s="17"/>
      <c r="I219" s="17"/>
      <c r="J219" s="17"/>
      <c r="K219" s="17"/>
      <c r="L219" s="17"/>
      <c r="N219" s="17" t="s">
        <v>149</v>
      </c>
      <c r="O219" s="17"/>
      <c r="P219" s="17"/>
      <c r="Q219" s="20"/>
      <c r="R219" s="17"/>
      <c r="S219" s="20"/>
      <c r="T219" s="20"/>
    </row>
    <row r="220" spans="2:20" ht="15.75" hidden="1" outlineLevel="1" x14ac:dyDescent="0.3">
      <c r="B220" s="17"/>
      <c r="C220" s="17"/>
      <c r="D220" s="17" t="s">
        <v>32</v>
      </c>
      <c r="E220" s="17"/>
      <c r="F220" s="44">
        <f>IF(NOT(ISBLANK('Referenz Pflasterwerk'!$I21)),'Referenz Pflasterwerk'!$I21,'Referenz Pflasterwerk'!$F21)*IF(NOT(ISBLANK('Eingabe EF'!$AS9)),'Eingabe EF'!$AS9,'Eingabe EF'!$AQ9)</f>
        <v>6.5937599999999996</v>
      </c>
      <c r="G220" s="44">
        <f>IF(NOT(ISBLANK('Referenz Pflasterwerk'!$I21)),'Referenz Pflasterwerk'!$I21,'Referenz Pflasterwerk'!$F21)*IF(NOT(ISBLANK('Eingabe EF'!$AW9)),'Eingabe EF'!$AW9,'Eingabe EF'!$AU9)</f>
        <v>0</v>
      </c>
      <c r="H220" s="44">
        <f>IF(NOT(ISBLANK('Referenz Pflasterwerk'!$I21)),'Referenz Pflasterwerk'!$I21,'Referenz Pflasterwerk'!$F21)*IF(NOT(ISBLANK('Eingabe EF'!$BA9)),'Eingabe EF'!$BA9,'Eingabe EF'!$AY9)</f>
        <v>1.1286</v>
      </c>
      <c r="I220" s="17"/>
      <c r="J220" s="38">
        <f t="shared" ref="J220:J221" si="46">F220+G220</f>
        <v>6.5937599999999996</v>
      </c>
      <c r="K220" s="38">
        <f t="shared" ref="K220:K221" si="47">SUM(F220:H220)</f>
        <v>7.7223600000000001</v>
      </c>
      <c r="L220" s="17" t="s">
        <v>199</v>
      </c>
      <c r="N220" s="17"/>
      <c r="O220" s="17" t="s">
        <v>32</v>
      </c>
      <c r="P220" s="17"/>
      <c r="Q220" s="20"/>
      <c r="R220" s="17"/>
      <c r="S220" s="42">
        <f>IF(NOT(ISBLANK('Referenz Pflasterwerk'!$I21)),'Referenz Pflasterwerk'!$I21,'Referenz Pflasterwerk'!$F21)/1000*IF(NOT(ISBLANK('Eingabe Preise'!$O10)),'Eingabe Preise'!$O10,'Eingabe Preise'!$M10)</f>
        <v>2196</v>
      </c>
      <c r="T220" s="20" t="s">
        <v>109</v>
      </c>
    </row>
    <row r="221" spans="2:20" ht="15.75" hidden="1" outlineLevel="1" x14ac:dyDescent="0.3">
      <c r="B221" s="17"/>
      <c r="C221" s="17"/>
      <c r="D221" s="17" t="s">
        <v>33</v>
      </c>
      <c r="E221" s="17"/>
      <c r="F221" s="44">
        <f>IF(NOT(ISBLANK('Referenz Pflasterwerk'!$I22)),'Referenz Pflasterwerk'!$I22,'Referenz Pflasterwerk'!$F22)*IF(NOT(ISBLANK('Eingabe EF'!$AS10)),'Eingabe EF'!$AS10,'Eingabe EF'!$AQ10)</f>
        <v>2.13408</v>
      </c>
      <c r="G221" s="44">
        <f>IF(NOT(ISBLANK('Referenz Pflasterwerk'!$I22)),'Referenz Pflasterwerk'!$I22,'Referenz Pflasterwerk'!$F22)*IF(NOT(ISBLANK('Eingabe EF'!$AW10)),'Eingabe EF'!$AW10,'Eingabe EF'!$AU10)</f>
        <v>0</v>
      </c>
      <c r="H221" s="44">
        <f>IF(NOT(ISBLANK('Referenz Pflasterwerk'!$I22)),'Referenz Pflasterwerk'!$I22,'Referenz Pflasterwerk'!$F22)*IF(NOT(ISBLANK('Eingabe EF'!$BA10)),'Eingabe EF'!$BA10,'Eingabe EF'!$AY10)</f>
        <v>0.316608</v>
      </c>
      <c r="I221" s="17"/>
      <c r="J221" s="38">
        <f t="shared" si="46"/>
        <v>2.13408</v>
      </c>
      <c r="K221" s="38">
        <f t="shared" si="47"/>
        <v>2.450688</v>
      </c>
      <c r="L221" s="17" t="s">
        <v>199</v>
      </c>
      <c r="N221" s="17"/>
      <c r="O221" s="17" t="s">
        <v>33</v>
      </c>
      <c r="P221" s="17"/>
      <c r="Q221" s="20"/>
      <c r="R221" s="17"/>
      <c r="S221" s="42">
        <f>IF(NOT(ISBLANK('Referenz Pflasterwerk'!$I22)),'Referenz Pflasterwerk'!$I22,'Referenz Pflasterwerk'!$F22)/1000*IF(NOT(ISBLANK('Eingabe Preise'!$O11)),'Eingabe Preise'!$O11,'Eingabe Preise'!$M11)</f>
        <v>368</v>
      </c>
      <c r="T221" s="20" t="s">
        <v>109</v>
      </c>
    </row>
    <row r="222" spans="2:20" hidden="1" outlineLevel="1" x14ac:dyDescent="0.2">
      <c r="B222" s="17"/>
      <c r="C222" s="17" t="s">
        <v>150</v>
      </c>
      <c r="D222" s="17"/>
      <c r="E222" s="17"/>
      <c r="F222" s="17"/>
      <c r="G222" s="17"/>
      <c r="H222" s="17"/>
      <c r="I222" s="17"/>
      <c r="J222" s="17"/>
      <c r="K222" s="17"/>
      <c r="L222" s="17"/>
      <c r="N222" s="17" t="s">
        <v>150</v>
      </c>
      <c r="O222" s="17"/>
      <c r="P222" s="17"/>
      <c r="Q222" s="20"/>
      <c r="R222" s="17"/>
      <c r="S222" s="20"/>
      <c r="T222" s="20"/>
    </row>
    <row r="223" spans="2:20" ht="15.75" hidden="1" outlineLevel="1" x14ac:dyDescent="0.3">
      <c r="B223" s="302"/>
      <c r="C223" s="17"/>
      <c r="D223" s="17" t="s">
        <v>152</v>
      </c>
      <c r="E223" s="17"/>
      <c r="F223" s="44">
        <f>IF(NOT(ISBLANK('Referenz Pflasterwerk'!$I24)),'Referenz Pflasterwerk'!$I24,'Referenz Pflasterwerk'!$F24)*F205</f>
        <v>0</v>
      </c>
      <c r="G223" s="44">
        <f>IF(NOT(ISBLANK('Referenz Pflasterwerk'!$I24)),'Referenz Pflasterwerk'!$I24,'Referenz Pflasterwerk'!$F24)*G205</f>
        <v>0</v>
      </c>
      <c r="H223" s="44">
        <f>IF(NOT(ISBLANK('Referenz Pflasterwerk'!$I24)),'Referenz Pflasterwerk'!$I24,'Referenz Pflasterwerk'!$F24)*H205</f>
        <v>24.474</v>
      </c>
      <c r="I223" s="17"/>
      <c r="J223" s="38">
        <f t="shared" ref="J223:J231" si="48">F223+G223</f>
        <v>0</v>
      </c>
      <c r="K223" s="38">
        <f t="shared" ref="K223:K231" si="49">SUM(F223:H223)</f>
        <v>24.474</v>
      </c>
      <c r="L223" s="17" t="s">
        <v>199</v>
      </c>
      <c r="N223" s="302"/>
      <c r="O223" s="17" t="s">
        <v>152</v>
      </c>
      <c r="P223" s="17"/>
      <c r="Q223" s="20"/>
      <c r="R223" s="17"/>
      <c r="S223" s="42">
        <f>IF(NOT(ISBLANK('Referenz Pflasterwerk'!$I24)),'Referenz Pflasterwerk'!$I24,'Referenz Pflasterwerk'!$F24)/1000*IF(NOT(ISBLANK('Eingabe Preise'!$O15)),'Eingabe Preise'!$O15,'Eingabe Preise'!$M15)</f>
        <v>104700</v>
      </c>
      <c r="T223" s="20" t="s">
        <v>109</v>
      </c>
    </row>
    <row r="224" spans="2:20" ht="15.75" hidden="1" outlineLevel="1" x14ac:dyDescent="0.3">
      <c r="B224" s="17"/>
      <c r="C224" s="17"/>
      <c r="D224" s="17" t="s">
        <v>125</v>
      </c>
      <c r="E224" s="17"/>
      <c r="F224" s="44">
        <f>IF(NOT(ISBLANK('Referenz Pflasterwerk'!$I25)),'Referenz Pflasterwerk'!$I25,'Referenz Pflasterwerk'!$F25)*IF(NOT(ISBLANK('Eingabe EF'!$AS13)),'Eingabe EF'!$AS13,'Eingabe EF'!$AQ13)</f>
        <v>0</v>
      </c>
      <c r="G224" s="44">
        <f>IF(NOT(ISBLANK('Referenz Pflasterwerk'!$I25)),'Referenz Pflasterwerk'!$I25,'Referenz Pflasterwerk'!$F25)*IF(NOT(ISBLANK('Eingabe EF'!$AW13)),'Eingabe EF'!$AW13,'Eingabe EF'!$AU13)</f>
        <v>0</v>
      </c>
      <c r="H224" s="44">
        <f>IF(NOT(ISBLANK('Referenz Pflasterwerk'!$I25)),'Referenz Pflasterwerk'!$I25,'Referenz Pflasterwerk'!$F25)*IF(NOT(ISBLANK('Eingabe EF'!$BA13)),'Eingabe EF'!$BA13,'Eingabe EF'!$AY13)</f>
        <v>0</v>
      </c>
      <c r="I224" s="17"/>
      <c r="J224" s="38">
        <f t="shared" si="48"/>
        <v>0</v>
      </c>
      <c r="K224" s="38">
        <f t="shared" si="49"/>
        <v>0</v>
      </c>
      <c r="L224" s="17" t="s">
        <v>199</v>
      </c>
      <c r="N224" s="17"/>
      <c r="O224" s="17" t="s">
        <v>125</v>
      </c>
      <c r="P224" s="17"/>
      <c r="Q224" s="20"/>
      <c r="R224" s="17"/>
      <c r="S224" s="42">
        <f>IF(NOT(ISBLANK('Referenz Pflasterwerk'!$I25)),'Referenz Pflasterwerk'!$I25,'Referenz Pflasterwerk'!$F25)/1000*IF(NOT(ISBLANK('Eingabe Preise'!$O13)),'Eingabe Preise'!$O13,'Eingabe Preise'!$M13)</f>
        <v>0</v>
      </c>
      <c r="T224" s="20" t="s">
        <v>109</v>
      </c>
    </row>
    <row r="225" spans="2:20" ht="15.75" hidden="1" outlineLevel="1" x14ac:dyDescent="0.3">
      <c r="B225" s="17"/>
      <c r="C225" s="17"/>
      <c r="D225" s="17" t="s">
        <v>151</v>
      </c>
      <c r="E225" s="17"/>
      <c r="F225" s="44">
        <f>IF(NOT(ISBLANK('Referenz Pflasterwerk'!$I26)),'Referenz Pflasterwerk'!$I26,'Referenz Pflasterwerk'!$F26)*IF(NOT(ISBLANK('Eingabe EF'!$AS14)),'Eingabe EF'!$AS14,0)</f>
        <v>0</v>
      </c>
      <c r="G225" s="44">
        <f>IF(NOT(ISBLANK('Referenz Pflasterwerk'!$I26)),'Referenz Pflasterwerk'!$I26,'Referenz Pflasterwerk'!$F26)*IF(NOT(ISBLANK('Eingabe EF'!$AW14)),'Eingabe EF'!$AW14,0)</f>
        <v>0</v>
      </c>
      <c r="H225" s="44">
        <f>IF(NOT(ISBLANK('Referenz Pflasterwerk'!$I26)),'Referenz Pflasterwerk'!$I26,'Referenz Pflasterwerk'!$F26)*IF(NOT(ISBLANK('Eingabe EF'!$BA14)),'Eingabe EF'!$BA14,0)</f>
        <v>0</v>
      </c>
      <c r="I225" s="17"/>
      <c r="J225" s="38">
        <f t="shared" si="48"/>
        <v>0</v>
      </c>
      <c r="K225" s="38">
        <f t="shared" si="49"/>
        <v>0</v>
      </c>
      <c r="L225" s="17" t="s">
        <v>199</v>
      </c>
      <c r="N225" s="17"/>
      <c r="O225" s="17" t="s">
        <v>151</v>
      </c>
      <c r="P225" s="17"/>
      <c r="Q225" s="30"/>
      <c r="R225" s="17"/>
      <c r="S225" s="42">
        <f>IF(NOT(ISBLANK('Referenz Pflasterwerk'!$I26)),'Referenz Pflasterwerk'!$I26,'Referenz Pflasterwerk'!$F26)/1000*IF(NOT(ISBLANK('Eingabe Preise'!$O17)),'Eingabe Preise'!$O17,0)</f>
        <v>0</v>
      </c>
      <c r="T225" s="20" t="s">
        <v>109</v>
      </c>
    </row>
    <row r="226" spans="2:20" hidden="1" outlineLevel="1" x14ac:dyDescent="0.2">
      <c r="B226" s="17"/>
      <c r="C226" s="17"/>
      <c r="D226" s="17"/>
      <c r="E226" s="17"/>
      <c r="F226" s="17"/>
      <c r="G226" s="17"/>
      <c r="H226" s="17"/>
      <c r="I226" s="17"/>
      <c r="J226" s="17"/>
      <c r="K226" s="17"/>
      <c r="L226" s="17"/>
      <c r="N226" s="17"/>
      <c r="O226" s="17"/>
      <c r="P226" s="17"/>
      <c r="Q226" s="30"/>
      <c r="R226" s="17"/>
      <c r="S226" s="17"/>
      <c r="T226" s="17"/>
    </row>
    <row r="227" spans="2:20" ht="15.75" hidden="1" outlineLevel="1" x14ac:dyDescent="0.3">
      <c r="B227" s="17"/>
      <c r="C227" s="17" t="s">
        <v>78</v>
      </c>
      <c r="D227" s="17" t="s">
        <v>35</v>
      </c>
      <c r="E227" s="17"/>
      <c r="F227" s="44">
        <f>IF(NOT(ISBLANK('Referenz Pflasterwerk'!$I28)),'Referenz Pflasterwerk'!$I28,'Referenz Pflasterwerk'!$F28)*IF(NOT(ISBLANK('Eingabe EF'!$AS15)),'Eingabe EF'!$AS15,'Eingabe EF'!$AQ15)</f>
        <v>85.058737919999984</v>
      </c>
      <c r="G227" s="44">
        <f>IF(NOT(ISBLANK('Referenz Pflasterwerk'!$I28)),'Referenz Pflasterwerk'!$I28,'Referenz Pflasterwerk'!$F28)*IF(NOT(ISBLANK('Eingabe EF'!$AW15)),'Eingabe EF'!$AW15,'Eingabe EF'!$AU15)</f>
        <v>0</v>
      </c>
      <c r="H227" s="44">
        <f>IF(NOT(ISBLANK('Referenz Pflasterwerk'!$I28)),'Referenz Pflasterwerk'!$I28,'Referenz Pflasterwerk'!$F28)*IF(NOT(ISBLANK('Eingabe EF'!$BA15)),'Eingabe EF'!$BA15,'Eingabe EF'!$AY15)</f>
        <v>15.027966720000002</v>
      </c>
      <c r="I227" s="17"/>
      <c r="J227" s="38">
        <f t="shared" ref="J227:J229" si="50">F227+G227</f>
        <v>85.058737919999984</v>
      </c>
      <c r="K227" s="38">
        <f t="shared" ref="K227:K229" si="51">SUM(F227:H227)</f>
        <v>100.08670463999999</v>
      </c>
      <c r="L227" s="17" t="s">
        <v>199</v>
      </c>
      <c r="N227" s="17"/>
      <c r="O227" s="17" t="s">
        <v>35</v>
      </c>
      <c r="P227" s="17" t="s">
        <v>78</v>
      </c>
      <c r="Q227" s="30"/>
      <c r="R227" s="17"/>
      <c r="S227" s="42">
        <f>IF(NOT(ISBLANK('Referenz Pflasterwerk'!$I28)),'Referenz Pflasterwerk'!$I28,'Referenz Pflasterwerk'!$F28)*IF(NOT(ISBLANK('Eingabe Preise'!$O14)),'Eingabe Preise'!$O14,'Eingabe Preise'!$M14)</f>
        <v>35968</v>
      </c>
      <c r="T227" s="20" t="s">
        <v>109</v>
      </c>
    </row>
    <row r="228" spans="2:20" ht="15.75" hidden="1" outlineLevel="1" x14ac:dyDescent="0.3">
      <c r="B228" s="17"/>
      <c r="C228" s="17" t="s">
        <v>77</v>
      </c>
      <c r="D228" s="17" t="s">
        <v>35</v>
      </c>
      <c r="E228" s="17"/>
      <c r="F228" s="44">
        <f>IF(NOT(ISBLANK('Referenz Pflasterwerk'!$I29)),'Referenz Pflasterwerk'!$I29,'Referenz Pflasterwerk'!$F29)*IF(NOT(ISBLANK('Eingabe EF'!$AS15)),'Eingabe EF'!$AS15,'Eingabe EF'!$AQ15)</f>
        <v>10.632342239999998</v>
      </c>
      <c r="G228" s="44">
        <f>IF(NOT(ISBLANK('Referenz Pflasterwerk'!$I29)),'Referenz Pflasterwerk'!$I29,'Referenz Pflasterwerk'!$F29)*IF(NOT(ISBLANK('Eingabe EF'!$AW15)),'Eingabe EF'!$AW15,'Eingabe EF'!$AU15)</f>
        <v>0</v>
      </c>
      <c r="H228" s="44">
        <f>IF(NOT(ISBLANK('Referenz Pflasterwerk'!$I29)),'Referenz Pflasterwerk'!$I29,'Referenz Pflasterwerk'!$F29)*IF(NOT(ISBLANK('Eingabe EF'!$BA15)),'Eingabe EF'!$BA15,'Eingabe EF'!$AY15)</f>
        <v>1.8784958400000002</v>
      </c>
      <c r="I228" s="17"/>
      <c r="J228" s="38">
        <f t="shared" si="50"/>
        <v>10.632342239999998</v>
      </c>
      <c r="K228" s="38">
        <f t="shared" si="51"/>
        <v>12.510838079999999</v>
      </c>
      <c r="L228" s="17" t="s">
        <v>199</v>
      </c>
      <c r="N228" s="17"/>
      <c r="O228" s="17" t="s">
        <v>35</v>
      </c>
      <c r="P228" s="17" t="s">
        <v>77</v>
      </c>
      <c r="Q228" s="30"/>
      <c r="R228" s="17"/>
      <c r="S228" s="42">
        <f>IF(NOT(ISBLANK('Referenz Pflasterwerk'!$I29)),'Referenz Pflasterwerk'!$I29,'Referenz Pflasterwerk'!$F29)*IF(NOT(ISBLANK('Eingabe Preise'!$O14)),'Eingabe Preise'!$O14,'Eingabe Preise'!$M14)</f>
        <v>4496</v>
      </c>
      <c r="T228" s="20" t="s">
        <v>109</v>
      </c>
    </row>
    <row r="229" spans="2:20" ht="14.25" hidden="1" outlineLevel="1" x14ac:dyDescent="0.25">
      <c r="B229" s="69"/>
      <c r="C229" s="69" t="s">
        <v>190</v>
      </c>
      <c r="D229" s="69"/>
      <c r="E229" s="69"/>
      <c r="F229" s="71">
        <f>F230+F231</f>
        <v>0</v>
      </c>
      <c r="G229" s="71">
        <f t="shared" ref="G229:H229" si="52">G230+G231</f>
        <v>0</v>
      </c>
      <c r="H229" s="71">
        <f t="shared" si="52"/>
        <v>578.62626120000004</v>
      </c>
      <c r="I229" s="69"/>
      <c r="J229" s="71">
        <f t="shared" si="50"/>
        <v>0</v>
      </c>
      <c r="K229" s="71">
        <f t="shared" si="51"/>
        <v>578.62626120000004</v>
      </c>
      <c r="L229" s="76" t="s">
        <v>198</v>
      </c>
      <c r="N229" s="17"/>
      <c r="O229" s="17"/>
      <c r="P229" s="17"/>
      <c r="Q229" s="30"/>
      <c r="R229" s="17"/>
      <c r="S229" s="17"/>
      <c r="T229" s="17"/>
    </row>
    <row r="230" spans="2:20" ht="15.75" hidden="1" outlineLevel="1" x14ac:dyDescent="0.3">
      <c r="B230" s="17"/>
      <c r="C230" s="17"/>
      <c r="D230" s="17" t="s">
        <v>46</v>
      </c>
      <c r="E230" s="17"/>
      <c r="F230" s="44">
        <f>IF(NOT(ISBLANK('Referenz Pflasterwerk'!$I32)),'Referenz Pflasterwerk'!$I32,'Referenz Pflasterwerk'!$F32)*IF(NOT(ISBLANK('Eingabe EF'!$AS17)),'Eingabe EF'!$AS17,'Eingabe EF'!$AQ17)</f>
        <v>0</v>
      </c>
      <c r="G230" s="44">
        <f>IF(NOT(ISBLANK('Referenz Pflasterwerk'!$I32)),'Referenz Pflasterwerk'!$I32,'Referenz Pflasterwerk'!$F32)*IF(NOT(ISBLANK('Eingabe EF'!$AW17)),'Eingabe EF'!$AW17,'Eingabe EF'!$AU17)</f>
        <v>0</v>
      </c>
      <c r="H230" s="44">
        <f>IF(NOT(ISBLANK('Referenz Pflasterwerk'!$I32)),'Referenz Pflasterwerk'!$I32,'Referenz Pflasterwerk'!$F32)*IF(NOT(ISBLANK('Eingabe EF'!$BA17)),'Eingabe EF'!$BA17,'Eingabe EF'!$AY17)</f>
        <v>250.21676159999998</v>
      </c>
      <c r="I230" s="17"/>
      <c r="J230" s="38">
        <f t="shared" si="48"/>
        <v>0</v>
      </c>
      <c r="K230" s="38">
        <f t="shared" si="49"/>
        <v>250.21676159999998</v>
      </c>
      <c r="L230" s="17" t="s">
        <v>199</v>
      </c>
      <c r="N230" s="17"/>
      <c r="O230" s="17"/>
      <c r="P230" s="17"/>
      <c r="Q230" s="30"/>
      <c r="R230" s="17"/>
      <c r="S230" s="17"/>
      <c r="T230" s="17"/>
    </row>
    <row r="231" spans="2:20" ht="15.75" hidden="1" outlineLevel="1" x14ac:dyDescent="0.3">
      <c r="B231" s="17"/>
      <c r="C231" s="17"/>
      <c r="D231" s="17" t="s">
        <v>47</v>
      </c>
      <c r="E231" s="17"/>
      <c r="F231" s="44">
        <f>IF(NOT(ISBLANK('Referenz Pflasterwerk'!$I33)),'Referenz Pflasterwerk'!$I33,'Referenz Pflasterwerk'!$F33)*IF(NOT(ISBLANK('Eingabe EF'!$AS18)),'Eingabe EF'!$AS18,'Eingabe EF'!$AQ18)</f>
        <v>0</v>
      </c>
      <c r="G231" s="44">
        <f>IF(NOT(ISBLANK('Referenz Pflasterwerk'!$I33)),'Referenz Pflasterwerk'!$I33,'Referenz Pflasterwerk'!$F33)*IF(NOT(ISBLANK('Eingabe EF'!$AW18)),'Eingabe EF'!$AW18,'Eingabe EF'!$AU18)</f>
        <v>0</v>
      </c>
      <c r="H231" s="44">
        <f>IF(NOT(ISBLANK('Referenz Pflasterwerk'!$I33)),'Referenz Pflasterwerk'!$I33,'Referenz Pflasterwerk'!$F33)*IF(NOT(ISBLANK('Eingabe EF'!$BA18)),'Eingabe EF'!$BA18,'Eingabe EF'!$AY18)</f>
        <v>328.4094996</v>
      </c>
      <c r="I231" s="17"/>
      <c r="J231" s="38">
        <f t="shared" si="48"/>
        <v>0</v>
      </c>
      <c r="K231" s="38">
        <f t="shared" si="49"/>
        <v>328.4094996</v>
      </c>
      <c r="L231" s="17" t="s">
        <v>199</v>
      </c>
      <c r="N231" s="302"/>
      <c r="O231" s="17" t="s">
        <v>31</v>
      </c>
      <c r="P231" s="17"/>
      <c r="Q231" s="30"/>
      <c r="R231" s="17"/>
      <c r="S231" s="42">
        <v>0</v>
      </c>
      <c r="T231" s="20" t="s">
        <v>109</v>
      </c>
    </row>
    <row r="232" spans="2:20" hidden="1" outlineLevel="1" x14ac:dyDescent="0.2">
      <c r="B232" s="17"/>
      <c r="C232" s="17"/>
      <c r="D232" s="17"/>
      <c r="E232" s="17"/>
      <c r="F232" s="20"/>
      <c r="G232" s="20"/>
      <c r="H232" s="20"/>
      <c r="I232" s="17"/>
      <c r="J232" s="20"/>
      <c r="K232" s="20"/>
      <c r="L232" s="17"/>
      <c r="N232" s="302"/>
      <c r="O232" s="45" t="s">
        <v>155</v>
      </c>
      <c r="P232" s="17"/>
      <c r="Q232" s="30"/>
      <c r="R232" s="17"/>
      <c r="S232" s="42">
        <v>0</v>
      </c>
      <c r="T232" s="20" t="s">
        <v>109</v>
      </c>
    </row>
    <row r="233" spans="2:20" ht="14.25" hidden="1" outlineLevel="1" x14ac:dyDescent="0.25">
      <c r="B233" s="69"/>
      <c r="C233" s="69" t="s">
        <v>69</v>
      </c>
      <c r="D233" s="70"/>
      <c r="E233" s="70"/>
      <c r="F233" s="71">
        <f>SUM(F234:F237)</f>
        <v>0</v>
      </c>
      <c r="G233" s="71">
        <f t="shared" ref="G233" si="53">SUM(G234:G237)</f>
        <v>0</v>
      </c>
      <c r="H233" s="71">
        <f>SUM(H234:H237)</f>
        <v>7683.24</v>
      </c>
      <c r="I233" s="70"/>
      <c r="J233" s="71">
        <f t="shared" ref="J233:J237" si="54">F233+G233</f>
        <v>0</v>
      </c>
      <c r="K233" s="71">
        <f t="shared" ref="K233" si="55">SUM(F233:H233)</f>
        <v>7683.24</v>
      </c>
      <c r="L233" s="76" t="s">
        <v>198</v>
      </c>
      <c r="N233" s="302"/>
      <c r="O233" s="45" t="s">
        <v>162</v>
      </c>
      <c r="P233" s="17"/>
      <c r="Q233" s="30"/>
      <c r="R233" s="17"/>
      <c r="S233" s="42">
        <v>0</v>
      </c>
      <c r="T233" s="20" t="s">
        <v>109</v>
      </c>
    </row>
    <row r="234" spans="2:20" ht="15.75" hidden="1" outlineLevel="1" x14ac:dyDescent="0.3">
      <c r="B234" s="17"/>
      <c r="C234" s="17"/>
      <c r="D234" s="17" t="s">
        <v>48</v>
      </c>
      <c r="E234" s="17"/>
      <c r="F234" s="38">
        <f>IF(NOT(ISBLANK('Referenz Pflasterwerk'!$I36)),'Referenz Pflasterwerk'!$I36,'Referenz Pflasterwerk'!$F36)*IF(NOT(ISBLANK('Eingabe EF'!$AS21)),'Eingabe EF'!$AS21,'Eingabe EF'!$AQ21)*IF(NOT(ISBLANK('Referenz Pflasterwerk'!$I$12)),'Referenz Pflasterwerk'!$I$12,'Referenz Pflasterwerk'!$F$12)</f>
        <v>0</v>
      </c>
      <c r="G234" s="38">
        <f>IF(NOT(ISBLANK('Referenz Pflasterwerk'!$I36)),'Referenz Pflasterwerk'!$I36,'Referenz Pflasterwerk'!$F36)*IF(NOT(ISBLANK('Eingabe EF'!$AW21)),'Eingabe EF'!$AW21,'Eingabe EF'!$AU21)*IF(NOT(ISBLANK('Referenz Pflasterwerk'!$I$12)),'Referenz Pflasterwerk'!$I$12,'Referenz Pflasterwerk'!$F$12)</f>
        <v>0</v>
      </c>
      <c r="H234" s="38">
        <f>IF(NOT(ISBLANK('Referenz Pflasterwerk'!$I36)),'Referenz Pflasterwerk'!$I36,'Referenz Pflasterwerk'!$F36)*IF(NOT(ISBLANK('Eingabe EF'!$BA21)),'Eingabe EF'!$BA21,'Eingabe EF'!$AY21)*IF(NOT(ISBLANK('Referenz Pflasterwerk'!$I$12)),'Referenz Pflasterwerk'!$I$12,'Referenz Pflasterwerk'!$F$12)</f>
        <v>2144.625</v>
      </c>
      <c r="I234" s="17"/>
      <c r="J234" s="38">
        <f t="shared" si="54"/>
        <v>0</v>
      </c>
      <c r="K234" s="38">
        <f t="shared" ref="K234:K237" si="56">SUM(F234:H234)</f>
        <v>2144.625</v>
      </c>
      <c r="L234" s="17" t="s">
        <v>199</v>
      </c>
      <c r="N234" s="17"/>
      <c r="O234" s="17"/>
      <c r="P234" s="17"/>
      <c r="Q234" s="17"/>
      <c r="R234" s="17"/>
      <c r="S234" s="17"/>
      <c r="T234" s="17"/>
    </row>
    <row r="235" spans="2:20" ht="15.75" hidden="1" outlineLevel="1" x14ac:dyDescent="0.3">
      <c r="B235" s="17"/>
      <c r="C235" s="17"/>
      <c r="D235" s="17" t="s">
        <v>50</v>
      </c>
      <c r="E235" s="17"/>
      <c r="F235" s="38">
        <f>IF(NOT(ISBLANK('Referenz Pflasterwerk'!$I37)),'Referenz Pflasterwerk'!$I37,'Referenz Pflasterwerk'!$F37)*IF(NOT(ISBLANK('Eingabe EF'!$AS22)),'Eingabe EF'!$AS22,'Eingabe EF'!$AQ22)*IF(NOT(ISBLANK('Referenz Pflasterwerk'!$I$12)),'Referenz Pflasterwerk'!$I$12,'Referenz Pflasterwerk'!$F$12)</f>
        <v>0</v>
      </c>
      <c r="G235" s="38">
        <f>IF(NOT(ISBLANK('Referenz Pflasterwerk'!$I37)),'Referenz Pflasterwerk'!$I37,'Referenz Pflasterwerk'!$F37)*IF(NOT(ISBLANK('Eingabe EF'!$AW22)),'Eingabe EF'!$AW22,'Eingabe EF'!$AU22)*IF(NOT(ISBLANK('Referenz Pflasterwerk'!$I$12)),'Referenz Pflasterwerk'!$I$12,'Referenz Pflasterwerk'!$F$12)</f>
        <v>0</v>
      </c>
      <c r="H235" s="38">
        <f>IF(NOT(ISBLANK('Referenz Pflasterwerk'!$I37)),'Referenz Pflasterwerk'!$I37,'Referenz Pflasterwerk'!$F37)*IF(NOT(ISBLANK('Eingabe EF'!$BA22)),'Eingabe EF'!$BA22,'Eingabe EF'!$AY22)*IF(NOT(ISBLANK('Referenz Pflasterwerk'!$I$12)),'Referenz Pflasterwerk'!$I$12,'Referenz Pflasterwerk'!$F$12)</f>
        <v>4993.59</v>
      </c>
      <c r="I235" s="17"/>
      <c r="J235" s="38">
        <f t="shared" si="54"/>
        <v>0</v>
      </c>
      <c r="K235" s="38">
        <f t="shared" si="56"/>
        <v>4993.59</v>
      </c>
      <c r="L235" s="17" t="s">
        <v>199</v>
      </c>
      <c r="N235" s="17"/>
      <c r="O235" s="17"/>
      <c r="P235" s="17"/>
      <c r="Q235" s="17"/>
      <c r="R235" s="17"/>
      <c r="S235" s="17"/>
      <c r="T235" s="17"/>
    </row>
    <row r="236" spans="2:20" ht="15.75" hidden="1" outlineLevel="1" x14ac:dyDescent="0.3">
      <c r="B236" s="17"/>
      <c r="C236" s="17"/>
      <c r="D236" s="17" t="s">
        <v>51</v>
      </c>
      <c r="E236" s="17"/>
      <c r="F236" s="38">
        <f>IF(NOT(ISBLANK('Referenz Pflasterwerk'!$I38)),'Referenz Pflasterwerk'!$I38,'Referenz Pflasterwerk'!$F38)*IF(NOT(ISBLANK('Eingabe EF'!$AS23)),'Eingabe EF'!$AS23,'Eingabe EF'!$AQ23)*IF(NOT(ISBLANK('Referenz Pflasterwerk'!$I$12)),'Referenz Pflasterwerk'!$I$12,'Referenz Pflasterwerk'!$F$12)</f>
        <v>0</v>
      </c>
      <c r="G236" s="38">
        <f>IF(NOT(ISBLANK('Referenz Pflasterwerk'!$I38)),'Referenz Pflasterwerk'!$I38,'Referenz Pflasterwerk'!$F38)*IF(NOT(ISBLANK('Eingabe EF'!$AW23)),'Eingabe EF'!$AW23,'Eingabe EF'!$AU23)*IF(NOT(ISBLANK('Referenz Pflasterwerk'!$I$12)),'Referenz Pflasterwerk'!$I$12,'Referenz Pflasterwerk'!$F$12)</f>
        <v>0</v>
      </c>
      <c r="H236" s="38">
        <f>IF(NOT(ISBLANK('Referenz Pflasterwerk'!$I38)),'Referenz Pflasterwerk'!$I38,'Referenz Pflasterwerk'!$F38)*IF(NOT(ISBLANK('Eingabe EF'!$BA23)),'Eingabe EF'!$BA23,'Eingabe EF'!$AY23)*IF(NOT(ISBLANK('Referenz Pflasterwerk'!$I$12)),'Referenz Pflasterwerk'!$I$12,'Referenz Pflasterwerk'!$F$12)</f>
        <v>545.02499999999998</v>
      </c>
      <c r="I236" s="17"/>
      <c r="J236" s="38">
        <f t="shared" si="54"/>
        <v>0</v>
      </c>
      <c r="K236" s="38">
        <f t="shared" si="56"/>
        <v>545.02499999999998</v>
      </c>
      <c r="L236" s="17" t="s">
        <v>199</v>
      </c>
      <c r="N236" s="17"/>
      <c r="O236" s="17" t="s">
        <v>201</v>
      </c>
      <c r="P236" s="17"/>
      <c r="Q236" s="30"/>
      <c r="R236" s="17"/>
      <c r="S236" s="42">
        <f>F272*IF(NOT(ISBLANK('Eingabe Preise'!$O21)),'Eingabe Preise'!$O21,'Eingabe Preise'!$M21)</f>
        <v>8528.0704127999998</v>
      </c>
      <c r="T236" s="20" t="s">
        <v>109</v>
      </c>
    </row>
    <row r="237" spans="2:20" ht="15.75" hidden="1" outlineLevel="1" x14ac:dyDescent="0.3">
      <c r="B237" s="17"/>
      <c r="C237" s="17"/>
      <c r="D237" s="17" t="s">
        <v>163</v>
      </c>
      <c r="E237" s="17"/>
      <c r="F237" s="38">
        <f>IF(NOT(ISBLANK('Referenz Pflasterwerk'!$I39)),'Referenz Pflasterwerk'!$I39,'Referenz Pflasterwerk'!$F39)*IF(NOT(ISBLANK('Eingabe EF'!$AS24)),'Eingabe EF'!$AS24,0)*IF(NOT(ISBLANK('Referenz Pflasterwerk'!$I$12)),'Referenz Pflasterwerk'!$I$12,'Referenz Pflasterwerk'!$F$12)</f>
        <v>0</v>
      </c>
      <c r="G237" s="38">
        <f>IF(NOT(ISBLANK('Referenz Pflasterwerk'!$I39)),'Referenz Pflasterwerk'!$I39,'Referenz Pflasterwerk'!$F39)*IF(NOT(ISBLANK('Eingabe EF'!$AW24)),'Eingabe EF'!$AW24,0)*IF(NOT(ISBLANK('Referenz Pflasterwerk'!$I$12)),'Referenz Pflasterwerk'!$I$12,'Referenz Pflasterwerk'!$F$12)</f>
        <v>0</v>
      </c>
      <c r="H237" s="38">
        <f>IF(NOT(ISBLANK('Referenz Pflasterwerk'!$I39)),'Referenz Pflasterwerk'!$I39,'Referenz Pflasterwerk'!$F39)*IF(NOT(ISBLANK('Eingabe EF'!$BA24)),'Eingabe EF'!$BA24,0)*IF(NOT(ISBLANK('Referenz Pflasterwerk'!$I$12)),'Referenz Pflasterwerk'!$I$12,'Referenz Pflasterwerk'!$F$12)</f>
        <v>0</v>
      </c>
      <c r="I237" s="17"/>
      <c r="J237" s="38">
        <f t="shared" si="54"/>
        <v>0</v>
      </c>
      <c r="K237" s="38">
        <f t="shared" si="56"/>
        <v>0</v>
      </c>
      <c r="L237" s="17" t="s">
        <v>199</v>
      </c>
      <c r="N237" s="17"/>
      <c r="O237" s="17" t="s">
        <v>202</v>
      </c>
      <c r="P237" s="17"/>
      <c r="Q237" s="30"/>
      <c r="R237" s="17"/>
      <c r="S237" s="42">
        <f>G272*IF(NOT(ISBLANK('Eingabe Preise'!$O22)),'Eingabe Preise'!$O22,'Eingabe Preise'!$M22)</f>
        <v>0</v>
      </c>
      <c r="T237" s="20" t="s">
        <v>109</v>
      </c>
    </row>
    <row r="238" spans="2:20" ht="15.75" hidden="1" outlineLevel="1" x14ac:dyDescent="0.3">
      <c r="B238" s="17"/>
      <c r="C238" s="17"/>
      <c r="D238" s="17"/>
      <c r="E238" s="17"/>
      <c r="F238" s="17"/>
      <c r="G238" s="17"/>
      <c r="H238" s="17"/>
      <c r="I238" s="17"/>
      <c r="J238" s="20"/>
      <c r="K238" s="20"/>
      <c r="L238" s="17"/>
      <c r="N238" s="17"/>
      <c r="O238" s="17" t="s">
        <v>203</v>
      </c>
      <c r="P238" s="17"/>
      <c r="Q238" s="30"/>
      <c r="R238" s="17"/>
      <c r="S238" s="42">
        <f>H272*IF(NOT(ISBLANK('Eingabe Preise'!$O23)),'Eingabe Preise'!$O23,'Eingabe Preise'!$M23)</f>
        <v>840737.2368357518</v>
      </c>
      <c r="T238" s="20" t="s">
        <v>109</v>
      </c>
    </row>
    <row r="239" spans="2:20" ht="14.25" hidden="1" outlineLevel="1" x14ac:dyDescent="0.25">
      <c r="B239" s="69"/>
      <c r="C239" s="69" t="s">
        <v>178</v>
      </c>
      <c r="D239" s="70"/>
      <c r="E239" s="70"/>
      <c r="F239" s="71">
        <f>SUM(F240:F242)</f>
        <v>0</v>
      </c>
      <c r="G239" s="71">
        <f t="shared" ref="G239:H239" si="57">SUM(G240:G242)</f>
        <v>0</v>
      </c>
      <c r="H239" s="71">
        <f t="shared" si="57"/>
        <v>387.03000000000003</v>
      </c>
      <c r="I239" s="70"/>
      <c r="J239" s="71">
        <f t="shared" ref="J239" si="58">F239+G239</f>
        <v>0</v>
      </c>
      <c r="K239" s="71">
        <f t="shared" ref="K239" si="59">SUM(F239:H239)</f>
        <v>387.03000000000003</v>
      </c>
      <c r="L239" s="76" t="s">
        <v>198</v>
      </c>
      <c r="N239" s="17"/>
      <c r="O239" s="17"/>
      <c r="P239" s="17"/>
      <c r="Q239" s="17"/>
      <c r="R239" s="17"/>
      <c r="S239" s="17"/>
      <c r="T239" s="17"/>
    </row>
    <row r="240" spans="2:20" ht="15.75" hidden="1" outlineLevel="1" x14ac:dyDescent="0.3">
      <c r="B240" s="17"/>
      <c r="C240" s="17"/>
      <c r="D240" s="17" t="s">
        <v>179</v>
      </c>
      <c r="E240" s="17"/>
      <c r="F240" s="38">
        <f>IF(NOT(ISBLANK('Referenz Pflasterwerk'!$I42)),'Referenz Pflasterwerk'!$I42,'Referenz Pflasterwerk'!$F42)*IF(NOT(ISBLANK('Eingabe EF'!$AS27)),'Eingabe EF'!$AS27,'Eingabe EF'!$AQ27)*IF(NOT(ISBLANK('Referenz Pflasterwerk'!$I$12)),'Referenz Pflasterwerk'!$I$12,'Referenz Pflasterwerk'!$F$12)</f>
        <v>0</v>
      </c>
      <c r="G240" s="38">
        <f>IF(NOT(ISBLANK('Referenz Pflasterwerk'!$I42)),'Referenz Pflasterwerk'!$I42,'Referenz Pflasterwerk'!$F42)*IF(NOT(ISBLANK('Eingabe EF'!$AW27)),'Eingabe EF'!$AW27,'Eingabe EF'!$AU27)*IF(NOT(ISBLANK('Referenz Pflasterwerk'!$I$12)),'Referenz Pflasterwerk'!$I$12,'Referenz Pflasterwerk'!$F$12)</f>
        <v>0</v>
      </c>
      <c r="H240" s="38">
        <f>IF(NOT(ISBLANK('Referenz Pflasterwerk'!$I42)),'Referenz Pflasterwerk'!$I42,'Referenz Pflasterwerk'!$F42)*IF(NOT(ISBLANK('Eingabe EF'!$BA27)),'Eingabe EF'!$BA27,'Eingabe EF'!$AY27)*IF(NOT(ISBLANK('Referenz Pflasterwerk'!$I$12)),'Referenz Pflasterwerk'!$I$12,'Referenz Pflasterwerk'!$F$12)</f>
        <v>387.03000000000003</v>
      </c>
      <c r="I240" s="17"/>
      <c r="J240" s="38">
        <f>F240+G240</f>
        <v>0</v>
      </c>
      <c r="K240" s="38">
        <f>SUM(F240:H240)</f>
        <v>387.03000000000003</v>
      </c>
      <c r="L240" s="17" t="s">
        <v>199</v>
      </c>
      <c r="N240" s="17"/>
      <c r="O240" s="17"/>
      <c r="P240" s="17"/>
      <c r="Q240" s="17"/>
      <c r="R240" s="17"/>
      <c r="S240" s="17"/>
      <c r="T240" s="17"/>
    </row>
    <row r="241" spans="2:20" ht="15.75" hidden="1" outlineLevel="1" x14ac:dyDescent="0.3">
      <c r="B241" s="17"/>
      <c r="C241" s="17"/>
      <c r="D241" s="17" t="s">
        <v>180</v>
      </c>
      <c r="E241" s="17"/>
      <c r="F241" s="38">
        <f>IF(NOT(ISBLANK('Referenz Pflasterwerk'!$I43)),'Referenz Pflasterwerk'!$I43,'Referenz Pflasterwerk'!$F43)*IF(NOT(ISBLANK('Eingabe EF'!$AS28)),'Eingabe EF'!$AS28,0)*IF(NOT(ISBLANK('Referenz Pflasterwerk'!$I$12)),'Referenz Pflasterwerk'!$I$12,'Referenz Pflasterwerk'!$F$12)</f>
        <v>0</v>
      </c>
      <c r="G241" s="38">
        <f>IF(NOT(ISBLANK('Referenz Pflasterwerk'!$I43)),'Referenz Pflasterwerk'!$I43,'Referenz Pflasterwerk'!$F43)*IF(NOT(ISBLANK('Eingabe EF'!$AW28)),'Eingabe EF'!$AW28,0)*IF(NOT(ISBLANK('Referenz Pflasterwerk'!$I$12)),'Referenz Pflasterwerk'!$I$12,'Referenz Pflasterwerk'!$F$12)</f>
        <v>0</v>
      </c>
      <c r="H241" s="38">
        <f>IF(NOT(ISBLANK('Referenz Pflasterwerk'!$I43)),'Referenz Pflasterwerk'!$I43,'Referenz Pflasterwerk'!$F43)*IF(NOT(ISBLANK('Eingabe EF'!$BA28)),'Eingabe EF'!$BA28,0)*IF(NOT(ISBLANK('Referenz Pflasterwerk'!$I$12)),'Referenz Pflasterwerk'!$I$12,'Referenz Pflasterwerk'!$F$12)</f>
        <v>0</v>
      </c>
      <c r="I241" s="17"/>
      <c r="J241" s="38">
        <f>F241+G241</f>
        <v>0</v>
      </c>
      <c r="K241" s="38">
        <f t="shared" ref="K241:K242" si="60">SUM(F241:H241)</f>
        <v>0</v>
      </c>
      <c r="L241" s="17" t="s">
        <v>199</v>
      </c>
      <c r="N241" s="17"/>
      <c r="O241" s="17"/>
      <c r="P241" s="17"/>
      <c r="Q241" s="18"/>
      <c r="R241" s="17"/>
      <c r="S241" s="18"/>
      <c r="T241" s="18"/>
    </row>
    <row r="242" spans="2:20" ht="15.75" hidden="1" outlineLevel="1" x14ac:dyDescent="0.3">
      <c r="B242" s="17"/>
      <c r="C242" s="17"/>
      <c r="D242" s="17" t="s">
        <v>181</v>
      </c>
      <c r="E242" s="17"/>
      <c r="F242" s="38">
        <f>IF(NOT(ISBLANK('Referenz Pflasterwerk'!$I44)),'Referenz Pflasterwerk'!$I44,'Referenz Pflasterwerk'!$F44)*IF(NOT(ISBLANK('Eingabe EF'!$AS29)),'Eingabe EF'!$AS29,0)*IF(NOT(ISBLANK('Referenz Pflasterwerk'!$I$12)),'Referenz Pflasterwerk'!$I$12,'Referenz Pflasterwerk'!$F$12)</f>
        <v>0</v>
      </c>
      <c r="G242" s="38">
        <f>IF(NOT(ISBLANK('Referenz Pflasterwerk'!$I44)),'Referenz Pflasterwerk'!$I44,'Referenz Pflasterwerk'!$F44)*IF(NOT(ISBLANK('Eingabe EF'!$AW29)),'Eingabe EF'!$AW29,0)*IF(NOT(ISBLANK('Referenz Pflasterwerk'!$I$12)),'Referenz Pflasterwerk'!$I$12,'Referenz Pflasterwerk'!$F$12)</f>
        <v>0</v>
      </c>
      <c r="H242" s="38">
        <f>IF(NOT(ISBLANK('Referenz Pflasterwerk'!$I44)),'Referenz Pflasterwerk'!$I44,'Referenz Pflasterwerk'!$F44)*IF(NOT(ISBLANK('Eingabe EF'!$BA29)),'Eingabe EF'!$BA29,0)*IF(NOT(ISBLANK('Referenz Pflasterwerk'!$I$12)),'Referenz Pflasterwerk'!$I$12,'Referenz Pflasterwerk'!$F$12)</f>
        <v>0</v>
      </c>
      <c r="I242" s="17"/>
      <c r="J242" s="38">
        <f t="shared" ref="J242" si="61">F242+G242</f>
        <v>0</v>
      </c>
      <c r="K242" s="38">
        <f t="shared" si="60"/>
        <v>0</v>
      </c>
      <c r="L242" s="17" t="s">
        <v>199</v>
      </c>
      <c r="N242" s="21" t="s">
        <v>224</v>
      </c>
      <c r="O242" s="17"/>
      <c r="P242" s="17"/>
      <c r="Q242" s="17"/>
      <c r="R242" s="17"/>
      <c r="S242" s="17"/>
      <c r="T242" s="17"/>
    </row>
    <row r="243" spans="2:20" hidden="1" outlineLevel="1" x14ac:dyDescent="0.2">
      <c r="B243" s="17"/>
      <c r="C243" s="17"/>
      <c r="D243" s="17"/>
      <c r="E243" s="17"/>
      <c r="F243" s="17"/>
      <c r="G243" s="17"/>
      <c r="H243" s="17"/>
      <c r="I243" s="17"/>
      <c r="J243" s="20"/>
      <c r="K243" s="20"/>
      <c r="L243" s="17"/>
      <c r="N243" s="302"/>
      <c r="O243" s="17" t="s">
        <v>225</v>
      </c>
      <c r="P243" s="17"/>
      <c r="Q243" s="18"/>
      <c r="R243" s="17"/>
      <c r="S243" s="42">
        <v>0</v>
      </c>
      <c r="T243" s="20" t="s">
        <v>109</v>
      </c>
    </row>
    <row r="244" spans="2:20" ht="14.25" hidden="1" outlineLevel="1" x14ac:dyDescent="0.25">
      <c r="B244" s="17"/>
      <c r="C244" s="17"/>
      <c r="D244" s="21" t="s">
        <v>58</v>
      </c>
      <c r="E244" s="21"/>
      <c r="F244" s="74">
        <f>IF(NOT(ISBLANK('Referenz Pflasterwerk'!$I46)),'Referenz Pflasterwerk'!$I46,'Referenz Pflasterwerk'!$F46)*IF(NOT(ISBLANK('Eingabe EF'!$AS31)),'Eingabe EF'!$AS31,'Eingabe EF'!$AQ31)*IF(NOT(ISBLANK('Referenz Pflasterwerk'!$I$12)),'Referenz Pflasterwerk'!$I$12,'Referenz Pflasterwerk'!$F$12)</f>
        <v>0</v>
      </c>
      <c r="G244" s="74">
        <f>IF(NOT(ISBLANK('Referenz Pflasterwerk'!$I46)),'Referenz Pflasterwerk'!$I46,'Referenz Pflasterwerk'!$F46)*IF(NOT(ISBLANK('Eingabe EF'!$AW31)),'Eingabe EF'!$AW31,'Eingabe EF'!$AU31)*IF(NOT(ISBLANK('Referenz Pflasterwerk'!$I$12)),'Referenz Pflasterwerk'!$I$12,'Referenz Pflasterwerk'!$F$12)</f>
        <v>0</v>
      </c>
      <c r="H244" s="74">
        <f>IF(NOT(ISBLANK('Referenz Pflasterwerk'!$I46)),'Referenz Pflasterwerk'!$I46,'Referenz Pflasterwerk'!$F46)*IF(NOT(ISBLANK('Eingabe EF'!$BA31)),'Eingabe EF'!$BA31,'Eingabe EF'!$AY31)*IF(NOT(ISBLANK('Referenz Pflasterwerk'!$I$12)),'Referenz Pflasterwerk'!$I$12,'Referenz Pflasterwerk'!$F$12)</f>
        <v>1040</v>
      </c>
      <c r="I244" s="21"/>
      <c r="J244" s="74">
        <f>F244+G244</f>
        <v>0</v>
      </c>
      <c r="K244" s="74">
        <f t="shared" ref="K244" si="62">SUM(F244:H244)</f>
        <v>1040</v>
      </c>
      <c r="L244" s="21" t="s">
        <v>198</v>
      </c>
      <c r="N244" s="302"/>
      <c r="O244" s="17" t="s">
        <v>226</v>
      </c>
      <c r="P244" s="17"/>
      <c r="Q244" s="17"/>
      <c r="R244" s="17"/>
      <c r="S244" s="42">
        <v>0</v>
      </c>
      <c r="T244" s="20" t="s">
        <v>109</v>
      </c>
    </row>
    <row r="245" spans="2:20" hidden="1" outlineLevel="1" x14ac:dyDescent="0.2">
      <c r="B245" s="17"/>
      <c r="C245" s="17"/>
      <c r="D245" s="17"/>
      <c r="E245" s="17"/>
      <c r="F245" s="17"/>
      <c r="G245" s="17"/>
      <c r="H245" s="17"/>
      <c r="I245" s="17"/>
      <c r="J245" s="20"/>
      <c r="K245" s="20"/>
      <c r="L245" s="17"/>
      <c r="N245" s="17"/>
      <c r="O245" s="17"/>
      <c r="P245" s="17"/>
      <c r="Q245" s="18"/>
      <c r="R245" s="17"/>
      <c r="S245" s="18"/>
      <c r="T245" s="18"/>
    </row>
    <row r="246" spans="2:20" ht="14.25" hidden="1" outlineLevel="1" x14ac:dyDescent="0.25">
      <c r="B246" s="69"/>
      <c r="C246" s="69" t="s">
        <v>182</v>
      </c>
      <c r="D246" s="70"/>
      <c r="E246" s="70"/>
      <c r="F246" s="71">
        <f>SUM(F247:F249)</f>
        <v>0</v>
      </c>
      <c r="G246" s="71">
        <f t="shared" ref="G246:H246" si="63">SUM(G247:G249)</f>
        <v>0</v>
      </c>
      <c r="H246" s="71">
        <f t="shared" si="63"/>
        <v>424.19999999999993</v>
      </c>
      <c r="I246" s="70"/>
      <c r="J246" s="71">
        <f t="shared" ref="J246" si="64">F246+G246</f>
        <v>0</v>
      </c>
      <c r="K246" s="71">
        <f t="shared" ref="K246" si="65">SUM(F246:H246)</f>
        <v>424.19999999999993</v>
      </c>
      <c r="L246" s="76" t="s">
        <v>198</v>
      </c>
      <c r="N246" s="302"/>
      <c r="O246" s="17" t="s">
        <v>228</v>
      </c>
      <c r="P246" s="17"/>
      <c r="Q246" s="17"/>
      <c r="R246" s="17"/>
      <c r="S246" s="42">
        <v>0</v>
      </c>
      <c r="T246" s="20" t="s">
        <v>109</v>
      </c>
    </row>
    <row r="247" spans="2:20" ht="15.75" hidden="1" outlineLevel="1" x14ac:dyDescent="0.3">
      <c r="B247" s="17"/>
      <c r="C247" s="17"/>
      <c r="D247" s="17" t="s">
        <v>60</v>
      </c>
      <c r="E247" s="17"/>
      <c r="F247" s="38">
        <f>IF(NOT(ISBLANK('Referenz Pflasterwerk'!$I49)),'Referenz Pflasterwerk'!$I49,'Referenz Pflasterwerk'!$F49)*IF(NOT(ISBLANK('Eingabe EF'!$AS34)),'Eingabe EF'!$AS34,'Eingabe EF'!$AQ34)*IF(NOT(ISBLANK('Referenz Pflasterwerk'!$I$12)),'Referenz Pflasterwerk'!$I$12,'Referenz Pflasterwerk'!$F$12)</f>
        <v>0</v>
      </c>
      <c r="G247" s="38">
        <f>IF(NOT(ISBLANK('Referenz Pflasterwerk'!$I49)),'Referenz Pflasterwerk'!$I49,'Referenz Pflasterwerk'!$F49)*IF(NOT(ISBLANK('Eingabe EF'!$AW34)),'Eingabe EF'!$AW34,'Eingabe EF'!$AU34)*IF(NOT(ISBLANK('Referenz Pflasterwerk'!$I$12)),'Referenz Pflasterwerk'!$I$12,'Referenz Pflasterwerk'!$F$12)</f>
        <v>0</v>
      </c>
      <c r="H247" s="38">
        <f>IF(NOT(ISBLANK('Referenz Pflasterwerk'!$I49)),'Referenz Pflasterwerk'!$I49,'Referenz Pflasterwerk'!$F49)*IF(NOT(ISBLANK('Eingabe EF'!$BA34)),'Eingabe EF'!$BA34,'Eingabe EF'!$AY34)*IF(NOT(ISBLANK('Referenz Pflasterwerk'!$I$12)),'Referenz Pflasterwerk'!$I$12,'Referenz Pflasterwerk'!$F$12)</f>
        <v>356.4</v>
      </c>
      <c r="I247" s="17"/>
      <c r="J247" s="38">
        <f>F247+G247</f>
        <v>0</v>
      </c>
      <c r="K247" s="38">
        <f>SUM(F247:H247)</f>
        <v>356.4</v>
      </c>
      <c r="L247" s="17" t="s">
        <v>199</v>
      </c>
      <c r="N247" s="302"/>
      <c r="O247" s="17" t="s">
        <v>229</v>
      </c>
      <c r="P247" s="17"/>
      <c r="Q247" s="18"/>
      <c r="R247" s="17"/>
      <c r="S247" s="42">
        <v>0</v>
      </c>
      <c r="T247" s="20" t="s">
        <v>109</v>
      </c>
    </row>
    <row r="248" spans="2:20" ht="15.75" hidden="1" outlineLevel="1" x14ac:dyDescent="0.3">
      <c r="B248" s="17"/>
      <c r="C248" s="17"/>
      <c r="D248" s="17" t="s">
        <v>61</v>
      </c>
      <c r="E248" s="17"/>
      <c r="F248" s="38">
        <f>IF(NOT(ISBLANK('Referenz Pflasterwerk'!$I50)),'Referenz Pflasterwerk'!$I50,'Referenz Pflasterwerk'!$F50)*IF(NOT(ISBLANK('Eingabe EF'!$AS35)),'Eingabe EF'!$AS35,'Eingabe EF'!$AQ35)*IF(NOT(ISBLANK('Referenz Pflasterwerk'!$I$12)),'Referenz Pflasterwerk'!$I$12,'Referenz Pflasterwerk'!$F$12)</f>
        <v>0</v>
      </c>
      <c r="G248" s="38">
        <f>IF(NOT(ISBLANK('Referenz Pflasterwerk'!$I50)),'Referenz Pflasterwerk'!$I50,'Referenz Pflasterwerk'!$F50)*IF(NOT(ISBLANK('Eingabe EF'!$AW35)),'Eingabe EF'!$AW35,'Eingabe EF'!$AU35)*IF(NOT(ISBLANK('Referenz Pflasterwerk'!$I$12)),'Referenz Pflasterwerk'!$I$12,'Referenz Pflasterwerk'!$F$12)</f>
        <v>0</v>
      </c>
      <c r="H248" s="38">
        <f>IF(NOT(ISBLANK('Referenz Pflasterwerk'!$I50)),'Referenz Pflasterwerk'!$I50,'Referenz Pflasterwerk'!$F50)*IF(NOT(ISBLANK('Eingabe EF'!$BA35)),'Eingabe EF'!$BA35,'Eingabe EF'!$AY35)*IF(NOT(ISBLANK('Referenz Pflasterwerk'!$I$12)),'Referenz Pflasterwerk'!$I$12,'Referenz Pflasterwerk'!$F$12)</f>
        <v>0</v>
      </c>
      <c r="I248" s="17"/>
      <c r="J248" s="38">
        <f>F248+G248</f>
        <v>0</v>
      </c>
      <c r="K248" s="38">
        <f>SUM(F248:H248)</f>
        <v>0</v>
      </c>
      <c r="L248" s="17" t="s">
        <v>199</v>
      </c>
      <c r="N248" s="17"/>
      <c r="O248" s="17"/>
      <c r="P248" s="17"/>
      <c r="Q248" s="18"/>
      <c r="R248" s="17"/>
      <c r="S248" s="18"/>
      <c r="T248" s="18"/>
    </row>
    <row r="249" spans="2:20" ht="15.75" hidden="1" outlineLevel="1" x14ac:dyDescent="0.3">
      <c r="B249" s="17"/>
      <c r="C249" s="17"/>
      <c r="D249" s="17" t="s">
        <v>62</v>
      </c>
      <c r="E249" s="17"/>
      <c r="F249" s="38">
        <f>IF(NOT(ISBLANK('Referenz Pflasterwerk'!$I51)),'Referenz Pflasterwerk'!$I51,'Referenz Pflasterwerk'!$F51)*IF(NOT(ISBLANK('Eingabe EF'!$AS36)),'Eingabe EF'!$AS36,'Eingabe EF'!$AQ36)*IF(NOT(ISBLANK('Referenz Pflasterwerk'!$I$12)),'Referenz Pflasterwerk'!$I$12,'Referenz Pflasterwerk'!$F$12)</f>
        <v>0</v>
      </c>
      <c r="G249" s="38">
        <f>IF(NOT(ISBLANK('Referenz Pflasterwerk'!$I51)),'Referenz Pflasterwerk'!$I51,'Referenz Pflasterwerk'!$F51)*IF(NOT(ISBLANK('Eingabe EF'!$AW36)),'Eingabe EF'!$AW36,'Eingabe EF'!$AU36)*IF(NOT(ISBLANK('Referenz Pflasterwerk'!$I$12)),'Referenz Pflasterwerk'!$I$12,'Referenz Pflasterwerk'!$F$12)</f>
        <v>0</v>
      </c>
      <c r="H249" s="38">
        <f>IF(NOT(ISBLANK('Referenz Pflasterwerk'!$I51)),'Referenz Pflasterwerk'!$I51,'Referenz Pflasterwerk'!$F51)*IF(NOT(ISBLANK('Eingabe EF'!$BA36)),'Eingabe EF'!$BA36,'Eingabe EF'!$AY36)*IF(NOT(ISBLANK('Referenz Pflasterwerk'!$I$12)),'Referenz Pflasterwerk'!$I$12,'Referenz Pflasterwerk'!$F$12)</f>
        <v>67.799999999999983</v>
      </c>
      <c r="I249" s="17"/>
      <c r="J249" s="38">
        <f>F249+G249</f>
        <v>0</v>
      </c>
      <c r="K249" s="38">
        <f>SUM(F249:H249)</f>
        <v>67.799999999999983</v>
      </c>
      <c r="L249" s="17" t="s">
        <v>199</v>
      </c>
      <c r="N249" s="17"/>
      <c r="O249" s="17"/>
      <c r="P249" s="17"/>
      <c r="Q249" s="17"/>
      <c r="R249" s="17"/>
      <c r="S249" s="17"/>
      <c r="T249" s="17"/>
    </row>
    <row r="250" spans="2:20" hidden="1" outlineLevel="1" x14ac:dyDescent="0.2">
      <c r="B250" s="17"/>
      <c r="C250" s="17"/>
      <c r="D250" s="17"/>
      <c r="E250" s="17"/>
      <c r="F250" s="17"/>
      <c r="G250" s="17"/>
      <c r="H250" s="17"/>
      <c r="I250" s="17"/>
      <c r="J250" s="17"/>
      <c r="K250" s="20"/>
      <c r="L250" s="20"/>
      <c r="N250" s="17"/>
      <c r="O250" s="17"/>
      <c r="P250" s="17"/>
      <c r="Q250" s="18"/>
      <c r="R250" s="17"/>
      <c r="S250" s="18"/>
      <c r="T250" s="18"/>
    </row>
    <row r="251" spans="2:20" ht="14.25" hidden="1" outlineLevel="1" x14ac:dyDescent="0.25">
      <c r="B251" s="69"/>
      <c r="C251" s="69" t="s">
        <v>52</v>
      </c>
      <c r="D251" s="70"/>
      <c r="E251" s="70"/>
      <c r="F251" s="71">
        <f>SUM(F252:F255)</f>
        <v>0</v>
      </c>
      <c r="G251" s="71">
        <f t="shared" ref="G251:H251" si="66">SUM(G252:G255)</f>
        <v>0</v>
      </c>
      <c r="H251" s="71">
        <f t="shared" si="66"/>
        <v>185.55932668689491</v>
      </c>
      <c r="I251" s="70"/>
      <c r="J251" s="71">
        <f t="shared" ref="J251:J255" si="67">F251+G251</f>
        <v>0</v>
      </c>
      <c r="K251" s="71">
        <f t="shared" ref="K251" si="68">SUM(F251:H251)</f>
        <v>185.55932668689491</v>
      </c>
      <c r="L251" s="76" t="s">
        <v>198</v>
      </c>
    </row>
    <row r="252" spans="2:20" ht="15.75" hidden="1" outlineLevel="1" x14ac:dyDescent="0.3">
      <c r="B252" s="17"/>
      <c r="C252" s="17"/>
      <c r="D252" s="17" t="s">
        <v>53</v>
      </c>
      <c r="E252" s="17"/>
      <c r="F252" s="38">
        <f>IF(NOT(ISBLANK('Referenz Pflasterwerk'!$I$53)),'Referenz Pflasterwerk'!$I$53,'Referenz Pflasterwerk'!$F$53)*IF(NOT(ISBLANK('Referenz Pflasterwerk'!$I54)),'Referenz Pflasterwerk'!$I54,'Referenz Pflasterwerk'!$F54)*IF(NOT(ISBLANK('Eingabe EF'!$AS39)),'Eingabe EF'!$AS39,'Eingabe EF'!$AQ39)*IF(NOT(ISBLANK('Referenz Pflasterwerk'!$I$12)),'Referenz Pflasterwerk'!$I$12,'Referenz Pflasterwerk'!$F$12)</f>
        <v>0</v>
      </c>
      <c r="G252" s="38">
        <f>IF(NOT(ISBLANK('Referenz Pflasterwerk'!$I$53)),'Referenz Pflasterwerk'!$I$53,'Referenz Pflasterwerk'!$F$53)*IF(NOT(ISBLANK('Referenz Pflasterwerk'!$I54)),'Referenz Pflasterwerk'!$I54,'Referenz Pflasterwerk'!$F54)*IF(NOT(ISBLANK('Eingabe EF'!$AW39)),'Eingabe EF'!$AW39,'Eingabe EF'!$AU39)*IF(NOT(ISBLANK('Referenz Pflasterwerk'!$I$12)),'Referenz Pflasterwerk'!$I$12,'Referenz Pflasterwerk'!$F$12)</f>
        <v>0</v>
      </c>
      <c r="H252" s="38">
        <f>IF(NOT(ISBLANK('Referenz Pflasterwerk'!$I$53)),'Referenz Pflasterwerk'!$I$53,'Referenz Pflasterwerk'!$F$53)*IF(NOT(ISBLANK('Referenz Pflasterwerk'!$I54)),'Referenz Pflasterwerk'!$I54,'Referenz Pflasterwerk'!$F54)*IF(NOT(ISBLANK('Eingabe EF'!$BA39)),'Eingabe EF'!$BA39,'Eingabe EF'!$AY39)*IF(NOT(ISBLANK('Referenz Pflasterwerk'!$I$12)),'Referenz Pflasterwerk'!$I$12,'Referenz Pflasterwerk'!$F$12)</f>
        <v>59.997399219765924</v>
      </c>
      <c r="I252" s="17"/>
      <c r="J252" s="38">
        <f t="shared" si="67"/>
        <v>0</v>
      </c>
      <c r="K252" s="38">
        <f t="shared" ref="K252:K255" si="69">SUM(F252:H252)</f>
        <v>59.997399219765924</v>
      </c>
      <c r="L252" s="17" t="s">
        <v>199</v>
      </c>
    </row>
    <row r="253" spans="2:20" ht="15.75" hidden="1" outlineLevel="1" x14ac:dyDescent="0.3">
      <c r="B253" s="17"/>
      <c r="C253" s="17"/>
      <c r="D253" s="17" t="s">
        <v>55</v>
      </c>
      <c r="E253" s="17"/>
      <c r="F253" s="38">
        <f>IF(NOT(ISBLANK('Referenz Pflasterwerk'!$I$53)),'Referenz Pflasterwerk'!$I$53,'Referenz Pflasterwerk'!$F$53)*IF(NOT(ISBLANK('Referenz Pflasterwerk'!$I55)),'Referenz Pflasterwerk'!$I55,'Referenz Pflasterwerk'!$F55)*IF(NOT(ISBLANK('Eingabe EF'!$AS40)),'Eingabe EF'!$AS40,'Eingabe EF'!$AQ40)*IF(NOT(ISBLANK('Referenz Pflasterwerk'!$I$12)),'Referenz Pflasterwerk'!$I$12,'Referenz Pflasterwerk'!$F$12)</f>
        <v>0</v>
      </c>
      <c r="G253" s="38">
        <f>IF(NOT(ISBLANK('Referenz Pflasterwerk'!$I$53)),'Referenz Pflasterwerk'!$I$53,'Referenz Pflasterwerk'!$F$53)*IF(NOT(ISBLANK('Referenz Pflasterwerk'!$I55)),'Referenz Pflasterwerk'!$I55,'Referenz Pflasterwerk'!$F55)*IF(NOT(ISBLANK('Eingabe EF'!$AW40)),'Eingabe EF'!$AW40,'Eingabe EF'!$AU40)*IF(NOT(ISBLANK('Referenz Pflasterwerk'!$I$12)),'Referenz Pflasterwerk'!$I$12,'Referenz Pflasterwerk'!$F$12)</f>
        <v>0</v>
      </c>
      <c r="H253" s="38">
        <f>IF(NOT(ISBLANK('Referenz Pflasterwerk'!$I$53)),'Referenz Pflasterwerk'!$I$53,'Referenz Pflasterwerk'!$F$53)*IF(NOT(ISBLANK('Referenz Pflasterwerk'!$I55)),'Referenz Pflasterwerk'!$I55,'Referenz Pflasterwerk'!$F55)*IF(NOT(ISBLANK('Eingabe EF'!$BA40)),'Eingabe EF'!$BA40,'Eingabe EF'!$AY40)*IF(NOT(ISBLANK('Referenz Pflasterwerk'!$I$12)),'Referenz Pflasterwerk'!$I$12,'Referenz Pflasterwerk'!$F$12)</f>
        <v>7.224692963444574</v>
      </c>
      <c r="I253" s="17"/>
      <c r="J253" s="38">
        <f t="shared" si="67"/>
        <v>0</v>
      </c>
      <c r="K253" s="38">
        <f t="shared" si="69"/>
        <v>7.224692963444574</v>
      </c>
      <c r="L253" s="17" t="s">
        <v>199</v>
      </c>
    </row>
    <row r="254" spans="2:20" ht="15.75" hidden="1" outlineLevel="1" x14ac:dyDescent="0.3">
      <c r="B254" s="17"/>
      <c r="C254" s="17"/>
      <c r="D254" s="17" t="s">
        <v>56</v>
      </c>
      <c r="E254" s="17"/>
      <c r="F254" s="38">
        <f>IF(NOT(ISBLANK('Referenz Pflasterwerk'!$I$53)),'Referenz Pflasterwerk'!$I$53,'Referenz Pflasterwerk'!$F$53)*IF(NOT(ISBLANK('Referenz Pflasterwerk'!$I56)),'Referenz Pflasterwerk'!$I56,'Referenz Pflasterwerk'!$F56)*IF(NOT(ISBLANK('Eingabe EF'!$AS41)),'Eingabe EF'!$AS41,'Eingabe EF'!$AQ41)*IF(NOT(ISBLANK('Referenz Pflasterwerk'!$I$12)),'Referenz Pflasterwerk'!$I$12,'Referenz Pflasterwerk'!$F$12)</f>
        <v>0</v>
      </c>
      <c r="G254" s="38">
        <f>IF(NOT(ISBLANK('Referenz Pflasterwerk'!$I$53)),'Referenz Pflasterwerk'!$I$53,'Referenz Pflasterwerk'!$F$53)*IF(NOT(ISBLANK('Referenz Pflasterwerk'!$I56)),'Referenz Pflasterwerk'!$I56,'Referenz Pflasterwerk'!$F56)*IF(NOT(ISBLANK('Eingabe EF'!$AW41)),'Eingabe EF'!$AW41,'Eingabe EF'!$AU41)*IF(NOT(ISBLANK('Referenz Pflasterwerk'!$I$12)),'Referenz Pflasterwerk'!$I$12,'Referenz Pflasterwerk'!$F$12)</f>
        <v>0</v>
      </c>
      <c r="H254" s="38">
        <f>IF(NOT(ISBLANK('Referenz Pflasterwerk'!$I$53)),'Referenz Pflasterwerk'!$I$53,'Referenz Pflasterwerk'!$F$53)*IF(NOT(ISBLANK('Referenz Pflasterwerk'!$I56)),'Referenz Pflasterwerk'!$I56,'Referenz Pflasterwerk'!$F56)*IF(NOT(ISBLANK('Eingabe EF'!$BA41)),'Eingabe EF'!$BA41,'Eingabe EF'!$AY41)*IF(NOT(ISBLANK('Referenz Pflasterwerk'!$I$12)),'Referenz Pflasterwerk'!$I$12,'Referenz Pflasterwerk'!$F$12)</f>
        <v>1.7771998266146515E-2</v>
      </c>
      <c r="I254" s="17"/>
      <c r="J254" s="38">
        <f t="shared" si="67"/>
        <v>0</v>
      </c>
      <c r="K254" s="38">
        <f t="shared" si="69"/>
        <v>1.7771998266146515E-2</v>
      </c>
      <c r="L254" s="17" t="s">
        <v>199</v>
      </c>
    </row>
    <row r="255" spans="2:20" ht="15.75" hidden="1" outlineLevel="1" x14ac:dyDescent="0.3">
      <c r="B255" s="17"/>
      <c r="C255" s="17"/>
      <c r="D255" s="17" t="s">
        <v>57</v>
      </c>
      <c r="E255" s="17"/>
      <c r="F255" s="38">
        <f>IF(NOT(ISBLANK('Referenz Pflasterwerk'!$I$53)),'Referenz Pflasterwerk'!$I$53,'Referenz Pflasterwerk'!$F$53)*IF(NOT(ISBLANK('Referenz Pflasterwerk'!$I57)),'Referenz Pflasterwerk'!$I57,'Referenz Pflasterwerk'!$F57)*IF(NOT(ISBLANK('Eingabe EF'!$AS42)),'Eingabe EF'!$AS42,'Eingabe EF'!$AQ42)*IF(NOT(ISBLANK('Referenz Pflasterwerk'!$I$12)),'Referenz Pflasterwerk'!$I$12,'Referenz Pflasterwerk'!$F$12)</f>
        <v>0</v>
      </c>
      <c r="G255" s="38">
        <f>IF(NOT(ISBLANK('Referenz Pflasterwerk'!$I$53)),'Referenz Pflasterwerk'!$I$53,'Referenz Pflasterwerk'!$F$53)*IF(NOT(ISBLANK('Referenz Pflasterwerk'!$I57)),'Referenz Pflasterwerk'!$I57,'Referenz Pflasterwerk'!$F57)*IF(NOT(ISBLANK('Eingabe EF'!$AW42)),'Eingabe EF'!$AW42,'Eingabe EF'!$AU42)*IF(NOT(ISBLANK('Referenz Pflasterwerk'!$I$12)),'Referenz Pflasterwerk'!$I$12,'Referenz Pflasterwerk'!$F$12)</f>
        <v>0</v>
      </c>
      <c r="H255" s="38">
        <f>IF(NOT(ISBLANK('Referenz Pflasterwerk'!$I$53)),'Referenz Pflasterwerk'!$I$53,'Referenz Pflasterwerk'!$F$53)*IF(NOT(ISBLANK('Referenz Pflasterwerk'!$I57)),'Referenz Pflasterwerk'!$I57,'Referenz Pflasterwerk'!$F57)*IF(NOT(ISBLANK('Eingabe EF'!$BA42)),'Eingabe EF'!$BA42,'Eingabe EF'!$AY42)*IF(NOT(ISBLANK('Referenz Pflasterwerk'!$I$12)),'Referenz Pflasterwerk'!$I$12,'Referenz Pflasterwerk'!$F$12)</f>
        <v>118.31946250541829</v>
      </c>
      <c r="I255" s="17"/>
      <c r="J255" s="38">
        <f t="shared" si="67"/>
        <v>0</v>
      </c>
      <c r="K255" s="38">
        <f t="shared" si="69"/>
        <v>118.31946250541829</v>
      </c>
      <c r="L255" s="17" t="s">
        <v>199</v>
      </c>
    </row>
    <row r="256" spans="2:20" hidden="1" outlineLevel="1" x14ac:dyDescent="0.2">
      <c r="B256" s="17"/>
      <c r="C256" s="17"/>
      <c r="D256" s="17"/>
      <c r="E256" s="17"/>
      <c r="F256" s="17"/>
      <c r="G256" s="17"/>
      <c r="H256" s="17"/>
      <c r="I256" s="17"/>
      <c r="J256" s="17"/>
      <c r="K256" s="17"/>
      <c r="L256" s="20"/>
    </row>
    <row r="257" spans="2:12" ht="14.25" hidden="1" outlineLevel="1" x14ac:dyDescent="0.25">
      <c r="B257" s="17"/>
      <c r="C257" s="17"/>
      <c r="D257" s="21" t="s">
        <v>113</v>
      </c>
      <c r="E257" s="21"/>
      <c r="F257" s="74">
        <f>IF(NOT(ISBLANK('Referenz Pflasterwerk'!$I59)),'Referenz Pflasterwerk'!$I59,'Referenz Pflasterwerk'!$F59)*IF(NOT(ISBLANK('Eingabe EF'!$AS44)),'Eingabe EF'!$AS44,0)*IF(NOT(ISBLANK('Referenz Pflasterwerk'!$I$12)),'Referenz Pflasterwerk'!$I$12,'Referenz Pflasterwerk'!$F$12)</f>
        <v>0</v>
      </c>
      <c r="G257" s="74">
        <f>IF(NOT(ISBLANK('Referenz Pflasterwerk'!$I59)),'Referenz Pflasterwerk'!$I59,'Referenz Pflasterwerk'!$F59)*IF(NOT(ISBLANK('Eingabe EF'!$AW44)),'Eingabe EF'!$AW44,0)*IF(NOT(ISBLANK('Referenz Pflasterwerk'!$I$12)),'Referenz Pflasterwerk'!$I$12,'Referenz Pflasterwerk'!$F$12)</f>
        <v>0</v>
      </c>
      <c r="H257" s="74">
        <f>IF(NOT(ISBLANK('Referenz Pflasterwerk'!$I59)),'Referenz Pflasterwerk'!$I59,'Referenz Pflasterwerk'!$F59)*IF(NOT(ISBLANK('Eingabe EF'!$BA44)),'Eingabe EF'!$BA44,0)*IF(NOT(ISBLANK('Referenz Pflasterwerk'!$I$12)),'Referenz Pflasterwerk'!$I$12,'Referenz Pflasterwerk'!$F$12)</f>
        <v>0</v>
      </c>
      <c r="I257" s="21"/>
      <c r="J257" s="74">
        <f>F257+G257</f>
        <v>0</v>
      </c>
      <c r="K257" s="74">
        <f>SUM(F257:H257)</f>
        <v>0</v>
      </c>
      <c r="L257" s="21" t="s">
        <v>198</v>
      </c>
    </row>
    <row r="258" spans="2:12" ht="14.25" hidden="1" outlineLevel="1" x14ac:dyDescent="0.25">
      <c r="B258" s="17"/>
      <c r="C258" s="17"/>
      <c r="D258" s="21" t="s">
        <v>65</v>
      </c>
      <c r="E258" s="21"/>
      <c r="F258" s="75">
        <f>IF(NOT(ISBLANK('Referenz Pflasterwerk'!$I60)),'Referenz Pflasterwerk'!$I60,'Referenz Pflasterwerk'!$F60)*IF(NOT(ISBLANK('Eingabe EF'!$AS45)),'Eingabe EF'!$AS45,'Eingabe EF'!$AQ45)</f>
        <v>0</v>
      </c>
      <c r="G258" s="75">
        <f>IF(NOT(ISBLANK('Referenz Pflasterwerk'!$I60)),'Referenz Pflasterwerk'!$I60,'Referenz Pflasterwerk'!$F60)*IF(NOT(ISBLANK('Eingabe EF'!$AW45)),'Eingabe EF'!$AW45,'Eingabe EF'!$AU45)</f>
        <v>0</v>
      </c>
      <c r="H258" s="75">
        <f>IF(NOT(ISBLANK('Referenz Pflasterwerk'!$I60)),'Referenz Pflasterwerk'!$I60,'Referenz Pflasterwerk'!$F60)*IF(NOT(ISBLANK('Eingabe EF'!$BA45)),'Eingabe EF'!$BA45,'Eingabe EF'!$AY45)</f>
        <v>5.4399999999999997E-2</v>
      </c>
      <c r="I258" s="21"/>
      <c r="J258" s="74">
        <f>F258+G258</f>
        <v>0</v>
      </c>
      <c r="K258" s="74">
        <f>SUM(F258:H258)</f>
        <v>5.4399999999999997E-2</v>
      </c>
      <c r="L258" s="21" t="s">
        <v>198</v>
      </c>
    </row>
    <row r="259" spans="2:12" hidden="1" outlineLevel="1" x14ac:dyDescent="0.2">
      <c r="B259" s="17"/>
      <c r="C259" s="17"/>
      <c r="D259" s="17"/>
      <c r="E259" s="17"/>
      <c r="F259" s="17"/>
      <c r="G259" s="17"/>
      <c r="H259" s="17"/>
      <c r="I259" s="17"/>
      <c r="J259" s="17"/>
      <c r="K259" s="17"/>
      <c r="L259" s="20"/>
    </row>
    <row r="260" spans="2:12" ht="14.25" hidden="1" outlineLevel="1" x14ac:dyDescent="0.25">
      <c r="B260" s="69"/>
      <c r="C260" s="69" t="s">
        <v>183</v>
      </c>
      <c r="D260" s="70"/>
      <c r="E260" s="70"/>
      <c r="F260" s="71">
        <f>SUM(F261:F263)</f>
        <v>0</v>
      </c>
      <c r="G260" s="71">
        <f t="shared" ref="G260:H260" si="70">SUM(G261:G263)</f>
        <v>0</v>
      </c>
      <c r="H260" s="71">
        <f t="shared" si="70"/>
        <v>0</v>
      </c>
      <c r="I260" s="70"/>
      <c r="J260" s="71">
        <f t="shared" ref="J260" si="71">F260+G260</f>
        <v>0</v>
      </c>
      <c r="K260" s="71">
        <f t="shared" ref="K260" si="72">SUM(F260:H260)</f>
        <v>0</v>
      </c>
      <c r="L260" s="76" t="s">
        <v>198</v>
      </c>
    </row>
    <row r="261" spans="2:12" ht="15.75" hidden="1" outlineLevel="1" x14ac:dyDescent="0.3">
      <c r="B261" s="17"/>
      <c r="C261" s="17"/>
      <c r="D261" s="17" t="s">
        <v>184</v>
      </c>
      <c r="E261" s="17"/>
      <c r="F261" s="38">
        <f>IF(NOT(ISBLANK('Referenz Pflasterwerk'!$I63)),'Referenz Pflasterwerk'!$I63,'Referenz Pflasterwerk'!$F63)*IF(NOT(ISBLANK('Eingabe EF'!$AS48)),'Eingabe EF'!$AS48,0)*IF(NOT(ISBLANK('Referenz Pflasterwerk'!$I$12)),'Referenz Pflasterwerk'!$I$12,'Referenz Pflasterwerk'!$F$12)</f>
        <v>0</v>
      </c>
      <c r="G261" s="38">
        <f>IF(NOT(ISBLANK('Referenz Pflasterwerk'!$I63)),'Referenz Pflasterwerk'!$I63,'Referenz Pflasterwerk'!$F63)*IF(NOT(ISBLANK('Eingabe EF'!$AW48)),'Eingabe EF'!$AW48,0)*IF(NOT(ISBLANK('Referenz Pflasterwerk'!$I$12)),'Referenz Pflasterwerk'!$I$12,'Referenz Pflasterwerk'!$F$12)</f>
        <v>0</v>
      </c>
      <c r="H261" s="38">
        <f>IF(NOT(ISBLANK('Referenz Pflasterwerk'!$I63)),'Referenz Pflasterwerk'!$I63,'Referenz Pflasterwerk'!$F63)*IF(NOT(ISBLANK('Eingabe EF'!$BA48)),'Eingabe EF'!$BA48,0)*IF(NOT(ISBLANK('Referenz Pflasterwerk'!$I$12)),'Referenz Pflasterwerk'!$I$12,'Referenz Pflasterwerk'!$F$12)</f>
        <v>0</v>
      </c>
      <c r="I261" s="17"/>
      <c r="J261" s="38">
        <f>F261+G261</f>
        <v>0</v>
      </c>
      <c r="K261" s="38">
        <f>SUM(F261:H261)</f>
        <v>0</v>
      </c>
      <c r="L261" s="17" t="s">
        <v>199</v>
      </c>
    </row>
    <row r="262" spans="2:12" ht="15.75" hidden="1" outlineLevel="1" x14ac:dyDescent="0.3">
      <c r="B262" s="17"/>
      <c r="C262" s="17"/>
      <c r="D262" s="17" t="s">
        <v>63</v>
      </c>
      <c r="E262" s="17"/>
      <c r="F262" s="38">
        <f>IF(NOT(ISBLANK('Referenz Pflasterwerk'!$I64)),'Referenz Pflasterwerk'!$I64,'Referenz Pflasterwerk'!$F64)*IF(NOT(ISBLANK('Eingabe EF'!$AS49)),'Eingabe EF'!$AS49,'Eingabe EF'!$AQ49)*IF(NOT(ISBLANK('Referenz Pflasterwerk'!$I$12)),'Referenz Pflasterwerk'!$I$12,'Referenz Pflasterwerk'!$F$12)</f>
        <v>0</v>
      </c>
      <c r="G262" s="38">
        <f>IF(NOT(ISBLANK('Referenz Pflasterwerk'!$I64)),'Referenz Pflasterwerk'!$I64,'Referenz Pflasterwerk'!$F64)*IF(NOT(ISBLANK('Eingabe EF'!$AW49)),'Eingabe EF'!$AW49,'Eingabe EF'!$AU49)*IF(NOT(ISBLANK('Referenz Pflasterwerk'!$I$12)),'Referenz Pflasterwerk'!$I$12,'Referenz Pflasterwerk'!$F$12)</f>
        <v>0</v>
      </c>
      <c r="H262" s="38">
        <f>IF(NOT(ISBLANK('Referenz Pflasterwerk'!$I64)),'Referenz Pflasterwerk'!$I64,'Referenz Pflasterwerk'!$F64)*IF(NOT(ISBLANK('Eingabe EF'!$BA49)),'Eingabe EF'!$BA49,'Eingabe EF'!$AY49)*IF(NOT(ISBLANK('Referenz Pflasterwerk'!$I$12)),'Referenz Pflasterwerk'!$I$12,'Referenz Pflasterwerk'!$F$12)</f>
        <v>0</v>
      </c>
      <c r="I262" s="17"/>
      <c r="J262" s="38">
        <f t="shared" ref="J262" si="73">F262+G262</f>
        <v>0</v>
      </c>
      <c r="K262" s="38">
        <f t="shared" ref="K262" si="74">SUM(F262:H262)</f>
        <v>0</v>
      </c>
      <c r="L262" s="17" t="s">
        <v>199</v>
      </c>
    </row>
    <row r="263" spans="2:12" ht="15.75" hidden="1" outlineLevel="1" x14ac:dyDescent="0.3">
      <c r="B263" s="17"/>
      <c r="C263" s="17"/>
      <c r="D263" s="17" t="s">
        <v>185</v>
      </c>
      <c r="E263" s="17"/>
      <c r="F263" s="38">
        <f>IF(NOT(ISBLANK('Referenz Pflasterwerk'!$I65)),'Referenz Pflasterwerk'!$I65,'Referenz Pflasterwerk'!$F65)*IF(NOT(ISBLANK('Eingabe EF'!$AS50)),'Eingabe EF'!$AS50,0)*IF(NOT(ISBLANK('Referenz Pflasterwerk'!$I$12)),'Referenz Pflasterwerk'!$I$12,'Referenz Pflasterwerk'!$F$12)</f>
        <v>0</v>
      </c>
      <c r="G263" s="38">
        <f>IF(NOT(ISBLANK('Referenz Pflasterwerk'!$I65)),'Referenz Pflasterwerk'!$I65,'Referenz Pflasterwerk'!$F65)*IF(NOT(ISBLANK('Eingabe EF'!$AW50)),'Eingabe EF'!$AW50,0)*IF(NOT(ISBLANK('Referenz Pflasterwerk'!$I$12)),'Referenz Pflasterwerk'!$I$12,'Referenz Pflasterwerk'!$F$12)</f>
        <v>0</v>
      </c>
      <c r="H263" s="38">
        <f>IF(NOT(ISBLANK('Referenz Pflasterwerk'!$I65)),'Referenz Pflasterwerk'!$I65,'Referenz Pflasterwerk'!$F65)*IF(NOT(ISBLANK('Eingabe EF'!$BA50)),'Eingabe EF'!$BA50,0)*IF(NOT(ISBLANK('Referenz Pflasterwerk'!$I$12)),'Referenz Pflasterwerk'!$I$12,'Referenz Pflasterwerk'!$F$12)</f>
        <v>0</v>
      </c>
      <c r="I263" s="17"/>
      <c r="J263" s="38">
        <f>F263+G263</f>
        <v>0</v>
      </c>
      <c r="K263" s="38">
        <f>SUM(F263:H263)</f>
        <v>0</v>
      </c>
      <c r="L263" s="17" t="s">
        <v>199</v>
      </c>
    </row>
    <row r="264" spans="2:12" hidden="1" outlineLevel="1" x14ac:dyDescent="0.2">
      <c r="B264" s="17"/>
      <c r="C264" s="17"/>
      <c r="D264" s="17"/>
      <c r="E264" s="17"/>
      <c r="F264" s="17"/>
      <c r="G264" s="17"/>
      <c r="H264" s="17"/>
      <c r="I264" s="17"/>
      <c r="J264" s="17"/>
      <c r="K264" s="17"/>
      <c r="L264" s="20"/>
    </row>
    <row r="265" spans="2:12" ht="14.25" hidden="1" outlineLevel="1" x14ac:dyDescent="0.25">
      <c r="B265" s="69"/>
      <c r="C265" s="69" t="s">
        <v>186</v>
      </c>
      <c r="D265" s="70"/>
      <c r="E265" s="70"/>
      <c r="F265" s="71">
        <f>SUM(F266:F268)</f>
        <v>0</v>
      </c>
      <c r="G265" s="71">
        <f t="shared" ref="G265:H265" si="75">SUM(G266:G268)</f>
        <v>0</v>
      </c>
      <c r="H265" s="71">
        <f t="shared" si="75"/>
        <v>0</v>
      </c>
      <c r="I265" s="70"/>
      <c r="J265" s="71">
        <f t="shared" ref="J265" si="76">F265+G265</f>
        <v>0</v>
      </c>
      <c r="K265" s="71">
        <f t="shared" ref="K265" si="77">SUM(F265:H265)</f>
        <v>0</v>
      </c>
      <c r="L265" s="76" t="s">
        <v>198</v>
      </c>
    </row>
    <row r="266" spans="2:12" ht="15.75" hidden="1" outlineLevel="1" x14ac:dyDescent="0.3">
      <c r="B266" s="17"/>
      <c r="C266" s="17"/>
      <c r="D266" s="17" t="s">
        <v>67</v>
      </c>
      <c r="E266" s="17"/>
      <c r="F266" s="44">
        <f>IF(NOT(ISBLANK('Referenz Pflasterwerk'!$I68)),'Referenz Pflasterwerk'!$I68,'Referenz Pflasterwerk'!$F68)*IF(NOT(ISBLANK('Eingabe EF'!$AS53)),'Eingabe EF'!$AS53,'Eingabe EF'!$AQ53)</f>
        <v>0</v>
      </c>
      <c r="G266" s="44">
        <f>IF(NOT(ISBLANK('Referenz Pflasterwerk'!$I68)),'Referenz Pflasterwerk'!$I68,'Referenz Pflasterwerk'!$F68)*IF(NOT(ISBLANK('Eingabe EF'!$AW53)),'Eingabe EF'!$AW53,'Eingabe EF'!$AU53)</f>
        <v>0</v>
      </c>
      <c r="H266" s="44">
        <f>IF(NOT(ISBLANK('Referenz Pflasterwerk'!$I68)),'Referenz Pflasterwerk'!$I68,'Referenz Pflasterwerk'!$F68)*IF(NOT(ISBLANK('Eingabe EF'!$BA53)),'Eingabe EF'!$BA53,'Eingabe EF'!$AY53)</f>
        <v>0</v>
      </c>
      <c r="I266" s="17"/>
      <c r="J266" s="38">
        <f>F266+G266</f>
        <v>0</v>
      </c>
      <c r="K266" s="38">
        <f>SUM(F266:H266)</f>
        <v>0</v>
      </c>
      <c r="L266" s="17" t="s">
        <v>199</v>
      </c>
    </row>
    <row r="267" spans="2:12" ht="15.75" hidden="1" outlineLevel="1" x14ac:dyDescent="0.3">
      <c r="B267" s="17"/>
      <c r="C267" s="17"/>
      <c r="D267" s="17" t="s">
        <v>188</v>
      </c>
      <c r="E267" s="17"/>
      <c r="F267" s="44">
        <f>IF(NOT(ISBLANK('Referenz Pflasterwerk'!$I69)),'Referenz Pflasterwerk'!$I69,'Referenz Pflasterwerk'!$F69)*IF(NOT(ISBLANK('Eingabe EF'!$AS54)),'Eingabe EF'!$AS54,0)</f>
        <v>0</v>
      </c>
      <c r="G267" s="44">
        <f>IF(NOT(ISBLANK('Referenz Pflasterwerk'!$I69)),'Referenz Pflasterwerk'!$I69,'Referenz Pflasterwerk'!$F69)*IF(NOT(ISBLANK('Eingabe EF'!$AW54)),'Eingabe EF'!$AW54,0)</f>
        <v>0</v>
      </c>
      <c r="H267" s="44">
        <f>IF(NOT(ISBLANK('Referenz Pflasterwerk'!$I69)),'Referenz Pflasterwerk'!$I69,'Referenz Pflasterwerk'!$F69)*IF(NOT(ISBLANK('Eingabe EF'!$BA54)),'Eingabe EF'!$BA54,0)</f>
        <v>0</v>
      </c>
      <c r="I267" s="17"/>
      <c r="J267" s="38">
        <f t="shared" ref="J267:J268" si="78">F267+G267</f>
        <v>0</v>
      </c>
      <c r="K267" s="38">
        <f t="shared" ref="K267:K268" si="79">SUM(F267:H267)</f>
        <v>0</v>
      </c>
      <c r="L267" s="17" t="s">
        <v>199</v>
      </c>
    </row>
    <row r="268" spans="2:12" ht="15.75" hidden="1" outlineLevel="1" x14ac:dyDescent="0.3">
      <c r="B268" s="17"/>
      <c r="C268" s="17"/>
      <c r="D268" s="17" t="s">
        <v>187</v>
      </c>
      <c r="E268" s="17"/>
      <c r="F268" s="44">
        <f>IF(NOT(ISBLANK('Referenz Pflasterwerk'!$I70)),'Referenz Pflasterwerk'!$I70,'Referenz Pflasterwerk'!$F70)*IF(NOT(ISBLANK('Eingabe EF'!$AS55)),'Eingabe EF'!$AS55,0)</f>
        <v>0</v>
      </c>
      <c r="G268" s="44">
        <f>IF(NOT(ISBLANK('Referenz Pflasterwerk'!$I70)),'Referenz Pflasterwerk'!$I70,'Referenz Pflasterwerk'!$F70)*IF(NOT(ISBLANK('Eingabe EF'!$AW55)),'Eingabe EF'!$AW55,0)</f>
        <v>0</v>
      </c>
      <c r="H268" s="44">
        <f>IF(NOT(ISBLANK('Referenz Pflasterwerk'!$I70)),'Referenz Pflasterwerk'!$I70,'Referenz Pflasterwerk'!$F70)*IF(NOT(ISBLANK('Eingabe EF'!$BA55)),'Eingabe EF'!$BA55,0)</f>
        <v>0</v>
      </c>
      <c r="I268" s="17"/>
      <c r="J268" s="38">
        <f t="shared" si="78"/>
        <v>0</v>
      </c>
      <c r="K268" s="38">
        <f t="shared" si="79"/>
        <v>0</v>
      </c>
      <c r="L268" s="17" t="s">
        <v>199</v>
      </c>
    </row>
    <row r="269" spans="2:12" hidden="1" outlineLevel="1" x14ac:dyDescent="0.2">
      <c r="B269" s="17"/>
      <c r="C269" s="17"/>
      <c r="D269" s="17"/>
      <c r="E269" s="17"/>
      <c r="F269" s="17"/>
      <c r="G269" s="17"/>
      <c r="H269" s="17"/>
      <c r="I269" s="17"/>
      <c r="J269" s="17"/>
      <c r="K269" s="17"/>
      <c r="L269" s="20"/>
    </row>
    <row r="270" spans="2:12" ht="14.25" hidden="1" outlineLevel="1" x14ac:dyDescent="0.25">
      <c r="B270" s="17"/>
      <c r="C270" s="17"/>
      <c r="D270" s="21" t="s">
        <v>64</v>
      </c>
      <c r="E270" s="21"/>
      <c r="F270" s="75">
        <f>IF(NOT(ISBLANK('Referenz Pflasterwerk'!$I72)),'Referenz Pflasterwerk'!$I72,'Referenz Pflasterwerk'!$F72)*IF(NOT(ISBLANK('Eingabe EF'!$AS57)),'Eingabe EF'!$AS57,'Eingabe EF'!$AQ57)</f>
        <v>0</v>
      </c>
      <c r="G270" s="75">
        <f>IF(NOT(ISBLANK('Referenz Pflasterwerk'!$I72)),'Referenz Pflasterwerk'!$I72,'Referenz Pflasterwerk'!$F72)*IF(NOT(ISBLANK('Eingabe EF'!$AW57)),'Eingabe EF'!$AW57,'Eingabe EF'!$AU57)</f>
        <v>0</v>
      </c>
      <c r="H270" s="75">
        <f>IF(NOT(ISBLANK('Referenz Pflasterwerk'!$I72)),'Referenz Pflasterwerk'!$I72,'Referenz Pflasterwerk'!$F72)*IF(NOT(ISBLANK('Eingabe EF'!$BA57)),'Eingabe EF'!$BA57,'Eingabe EF'!$AY57)</f>
        <v>161.20000000000002</v>
      </c>
      <c r="I270" s="21"/>
      <c r="J270" s="74">
        <f t="shared" ref="J270" si="80">F270+G270</f>
        <v>0</v>
      </c>
      <c r="K270" s="74">
        <f t="shared" ref="K270" si="81">SUM(F270:H270)</f>
        <v>161.20000000000002</v>
      </c>
      <c r="L270" s="21" t="s">
        <v>198</v>
      </c>
    </row>
    <row r="271" spans="2:12" hidden="1" outlineLevel="1" x14ac:dyDescent="0.2">
      <c r="B271" s="17"/>
      <c r="C271" s="17"/>
      <c r="D271" s="17"/>
      <c r="E271" s="17"/>
      <c r="F271" s="20"/>
      <c r="G271" s="20"/>
      <c r="H271" s="20"/>
      <c r="I271" s="17"/>
      <c r="J271" s="17"/>
      <c r="K271" s="20"/>
      <c r="L271" s="20"/>
    </row>
    <row r="272" spans="2:12" ht="15" hidden="1" outlineLevel="1" thickBot="1" x14ac:dyDescent="0.3">
      <c r="B272" s="17"/>
      <c r="C272" s="17"/>
      <c r="D272" s="67" t="s">
        <v>70</v>
      </c>
      <c r="E272" s="67"/>
      <c r="F272" s="68">
        <f>SUM(F215:F270)-F229-F233-F239-F246-F251-F260-F265</f>
        <v>106.60088015999999</v>
      </c>
      <c r="G272" s="68">
        <f t="shared" ref="G272:H272" si="82">SUM(G215:G270)-G229-G233-G239-G246-G251-G260-G265</f>
        <v>0</v>
      </c>
      <c r="H272" s="68">
        <f t="shared" si="82"/>
        <v>10509.215460446898</v>
      </c>
      <c r="I272" s="21"/>
      <c r="J272" s="68">
        <f t="shared" ref="J272:K272" si="83">SUM(J215:J270)-J229-J233-J239-J246-J251-J260-J265</f>
        <v>106.60088015999999</v>
      </c>
      <c r="K272" s="68">
        <f t="shared" si="83"/>
        <v>10615.816340606898</v>
      </c>
      <c r="L272" s="68" t="s">
        <v>198</v>
      </c>
    </row>
    <row r="273" spans="2:12" ht="13.5" hidden="1" outlineLevel="1" thickTop="1" x14ac:dyDescent="0.2">
      <c r="B273" s="17"/>
      <c r="C273" s="17"/>
      <c r="D273" s="17"/>
      <c r="E273" s="17"/>
      <c r="F273" s="20"/>
      <c r="G273" s="20"/>
      <c r="H273" s="20"/>
      <c r="I273" s="17"/>
      <c r="J273" s="17"/>
      <c r="K273" s="20"/>
      <c r="L273" s="20"/>
    </row>
    <row r="274" spans="2:12" collapsed="1" x14ac:dyDescent="0.2"/>
  </sheetData>
  <sheetProtection algorithmName="SHA-512" hashValue="5FP1HoRTSvsQ91vQEsmRMCKTOV6c59IiQggx4Xw2qJYAPPnZkQX8NbqtWWZQQ64q8gcV9MB5bMhk6utObeocDw==" saltValue="Qc+r45LQG0jqx1GqfZsNEA==" spinCount="100000" sheet="1" selectLockedCells="1"/>
  <mergeCells count="4">
    <mergeCell ref="C64:C65"/>
    <mergeCell ref="S64:S65"/>
    <mergeCell ref="K73:K74"/>
    <mergeCell ref="D6:L6"/>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xdr:col>
                    <xdr:colOff>523875</xdr:colOff>
                    <xdr:row>65</xdr:row>
                    <xdr:rowOff>28575</xdr:rowOff>
                  </from>
                  <to>
                    <xdr:col>2</xdr:col>
                    <xdr:colOff>704850</xdr:colOff>
                    <xdr:row>66</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2</xdr:col>
                    <xdr:colOff>523875</xdr:colOff>
                    <xdr:row>66</xdr:row>
                    <xdr:rowOff>28575</xdr:rowOff>
                  </from>
                  <to>
                    <xdr:col>2</xdr:col>
                    <xdr:colOff>704850</xdr:colOff>
                    <xdr:row>66</xdr:row>
                    <xdr:rowOff>190500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xdr:col>
                    <xdr:colOff>523875</xdr:colOff>
                    <xdr:row>67</xdr:row>
                    <xdr:rowOff>28575</xdr:rowOff>
                  </from>
                  <to>
                    <xdr:col>2</xdr:col>
                    <xdr:colOff>704850</xdr:colOff>
                    <xdr:row>67</xdr:row>
                    <xdr:rowOff>180975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xdr:col>
                    <xdr:colOff>523875</xdr:colOff>
                    <xdr:row>68</xdr:row>
                    <xdr:rowOff>19050</xdr:rowOff>
                  </from>
                  <to>
                    <xdr:col>2</xdr:col>
                    <xdr:colOff>704850</xdr:colOff>
                    <xdr:row>68</xdr:row>
                    <xdr:rowOff>190500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xdr:col>
                    <xdr:colOff>523875</xdr:colOff>
                    <xdr:row>69</xdr:row>
                    <xdr:rowOff>19050</xdr:rowOff>
                  </from>
                  <to>
                    <xdr:col>2</xdr:col>
                    <xdr:colOff>704850</xdr:colOff>
                    <xdr:row>69</xdr:row>
                    <xdr:rowOff>180975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2</xdr:col>
                    <xdr:colOff>523875</xdr:colOff>
                    <xdr:row>70</xdr:row>
                    <xdr:rowOff>0</xdr:rowOff>
                  </from>
                  <to>
                    <xdr:col>2</xdr:col>
                    <xdr:colOff>704850</xdr:colOff>
                    <xdr:row>70</xdr:row>
                    <xdr:rowOff>180975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2</xdr:col>
                    <xdr:colOff>523875</xdr:colOff>
                    <xdr:row>71</xdr:row>
                    <xdr:rowOff>9525</xdr:rowOff>
                  </from>
                  <to>
                    <xdr:col>2</xdr:col>
                    <xdr:colOff>704850</xdr:colOff>
                    <xdr:row>71</xdr:row>
                    <xdr:rowOff>190500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18</xdr:col>
                    <xdr:colOff>457200</xdr:colOff>
                    <xdr:row>76</xdr:row>
                    <xdr:rowOff>0</xdr:rowOff>
                  </from>
                  <to>
                    <xdr:col>18</xdr:col>
                    <xdr:colOff>676275</xdr:colOff>
                    <xdr:row>76</xdr:row>
                    <xdr:rowOff>180975</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18</xdr:col>
                    <xdr:colOff>571500</xdr:colOff>
                    <xdr:row>77</xdr:row>
                    <xdr:rowOff>19050</xdr:rowOff>
                  </from>
                  <to>
                    <xdr:col>19</xdr:col>
                    <xdr:colOff>0</xdr:colOff>
                    <xdr:row>78</xdr:row>
                    <xdr:rowOff>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18</xdr:col>
                    <xdr:colOff>571500</xdr:colOff>
                    <xdr:row>78</xdr:row>
                    <xdr:rowOff>19050</xdr:rowOff>
                  </from>
                  <to>
                    <xdr:col>19</xdr:col>
                    <xdr:colOff>0</xdr:colOff>
                    <xdr:row>79</xdr:row>
                    <xdr:rowOff>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18</xdr:col>
                    <xdr:colOff>571500</xdr:colOff>
                    <xdr:row>79</xdr:row>
                    <xdr:rowOff>9525</xdr:rowOff>
                  </from>
                  <to>
                    <xdr:col>19</xdr:col>
                    <xdr:colOff>0</xdr:colOff>
                    <xdr:row>79</xdr:row>
                    <xdr:rowOff>190500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18</xdr:col>
                    <xdr:colOff>457200</xdr:colOff>
                    <xdr:row>74</xdr:row>
                    <xdr:rowOff>9525</xdr:rowOff>
                  </from>
                  <to>
                    <xdr:col>18</xdr:col>
                    <xdr:colOff>676275</xdr:colOff>
                    <xdr:row>75</xdr:row>
                    <xdr:rowOff>9525</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18</xdr:col>
                    <xdr:colOff>457200</xdr:colOff>
                    <xdr:row>73</xdr:row>
                    <xdr:rowOff>0</xdr:rowOff>
                  </from>
                  <to>
                    <xdr:col>18</xdr:col>
                    <xdr:colOff>676275</xdr:colOff>
                    <xdr:row>74</xdr:row>
                    <xdr:rowOff>9525</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18</xdr:col>
                    <xdr:colOff>457200</xdr:colOff>
                    <xdr:row>75</xdr:row>
                    <xdr:rowOff>9525</xdr:rowOff>
                  </from>
                  <to>
                    <xdr:col>18</xdr:col>
                    <xdr:colOff>676275</xdr:colOff>
                    <xdr:row>76</xdr:row>
                    <xdr:rowOff>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10</xdr:col>
                    <xdr:colOff>514350</xdr:colOff>
                    <xdr:row>73</xdr:row>
                    <xdr:rowOff>152400</xdr:rowOff>
                  </from>
                  <to>
                    <xdr:col>10</xdr:col>
                    <xdr:colOff>723900</xdr:colOff>
                    <xdr:row>75</xdr:row>
                    <xdr:rowOff>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10</xdr:col>
                    <xdr:colOff>514350</xdr:colOff>
                    <xdr:row>74</xdr:row>
                    <xdr:rowOff>171450</xdr:rowOff>
                  </from>
                  <to>
                    <xdr:col>10</xdr:col>
                    <xdr:colOff>723900</xdr:colOff>
                    <xdr:row>75</xdr:row>
                    <xdr:rowOff>190500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10</xdr:col>
                    <xdr:colOff>514350</xdr:colOff>
                    <xdr:row>75</xdr:row>
                    <xdr:rowOff>180975</xdr:rowOff>
                  </from>
                  <to>
                    <xdr:col>10</xdr:col>
                    <xdr:colOff>723900</xdr:colOff>
                    <xdr:row>76</xdr:row>
                    <xdr:rowOff>190500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10</xdr:col>
                    <xdr:colOff>514350</xdr:colOff>
                    <xdr:row>76</xdr:row>
                    <xdr:rowOff>180975</xdr:rowOff>
                  </from>
                  <to>
                    <xdr:col>10</xdr:col>
                    <xdr:colOff>723900</xdr:colOff>
                    <xdr:row>78</xdr:row>
                    <xdr:rowOff>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10</xdr:col>
                    <xdr:colOff>514350</xdr:colOff>
                    <xdr:row>77</xdr:row>
                    <xdr:rowOff>180975</xdr:rowOff>
                  </from>
                  <to>
                    <xdr:col>10</xdr:col>
                    <xdr:colOff>723900</xdr:colOff>
                    <xdr:row>79</xdr:row>
                    <xdr:rowOff>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10</xdr:col>
                    <xdr:colOff>514350</xdr:colOff>
                    <xdr:row>78</xdr:row>
                    <xdr:rowOff>180975</xdr:rowOff>
                  </from>
                  <to>
                    <xdr:col>10</xdr:col>
                    <xdr:colOff>723900</xdr:colOff>
                    <xdr:row>80</xdr:row>
                    <xdr:rowOff>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10</xdr:col>
                    <xdr:colOff>514350</xdr:colOff>
                    <xdr:row>79</xdr:row>
                    <xdr:rowOff>180975</xdr:rowOff>
                  </from>
                  <to>
                    <xdr:col>10</xdr:col>
                    <xdr:colOff>723900</xdr:colOff>
                    <xdr:row>81</xdr:row>
                    <xdr:rowOff>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10</xdr:col>
                    <xdr:colOff>514350</xdr:colOff>
                    <xdr:row>80</xdr:row>
                    <xdr:rowOff>190500</xdr:rowOff>
                  </from>
                  <to>
                    <xdr:col>10</xdr:col>
                    <xdr:colOff>723900</xdr:colOff>
                    <xdr:row>81</xdr:row>
                    <xdr:rowOff>190500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10</xdr:col>
                    <xdr:colOff>514350</xdr:colOff>
                    <xdr:row>81</xdr:row>
                    <xdr:rowOff>180975</xdr:rowOff>
                  </from>
                  <to>
                    <xdr:col>10</xdr:col>
                    <xdr:colOff>723900</xdr:colOff>
                    <xdr:row>82</xdr:row>
                    <xdr:rowOff>190500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10</xdr:col>
                    <xdr:colOff>514350</xdr:colOff>
                    <xdr:row>82</xdr:row>
                    <xdr:rowOff>171450</xdr:rowOff>
                  </from>
                  <to>
                    <xdr:col>10</xdr:col>
                    <xdr:colOff>723900</xdr:colOff>
                    <xdr:row>83</xdr:row>
                    <xdr:rowOff>180975</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10</xdr:col>
                    <xdr:colOff>514350</xdr:colOff>
                    <xdr:row>83</xdr:row>
                    <xdr:rowOff>171450</xdr:rowOff>
                  </from>
                  <to>
                    <xdr:col>10</xdr:col>
                    <xdr:colOff>723900</xdr:colOff>
                    <xdr:row>84</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promptTitle="Grünstrom" prompt="Bitte eine Grünstrom-Quelle auswählen" xr:uid="{CF67D9D7-89DD-40E8-9767-750CDF7DCCE2}">
          <x14:formula1>
            <xm:f>'Drop-Down'!$B$3:$B$6</xm:f>
          </x14:formula1>
          <xm:sqref>G16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1803-7656-4943-8243-C8B8384FE939}">
  <sheetPr>
    <pageSetUpPr fitToPage="1"/>
  </sheetPr>
  <dimension ref="B2:AA277"/>
  <sheetViews>
    <sheetView zoomScale="90" zoomScaleNormal="90" workbookViewId="0">
      <selection activeCell="D15" sqref="D15"/>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3" x14ac:dyDescent="0.2">
      <c r="B2" s="3"/>
      <c r="C2" s="89"/>
      <c r="D2" s="89"/>
      <c r="E2" s="89"/>
      <c r="F2" s="89"/>
      <c r="G2" s="89"/>
      <c r="H2" s="89"/>
      <c r="I2" s="89"/>
      <c r="J2" s="89"/>
      <c r="K2" s="89"/>
      <c r="L2" s="89"/>
      <c r="M2" s="3"/>
    </row>
    <row r="3" spans="2:13" ht="18" x14ac:dyDescent="0.25">
      <c r="B3" s="3"/>
      <c r="C3" s="89"/>
      <c r="D3" s="90" t="s">
        <v>247</v>
      </c>
      <c r="E3" s="89"/>
      <c r="F3" s="89"/>
      <c r="G3" s="89"/>
      <c r="H3" s="89"/>
      <c r="I3" s="89"/>
      <c r="J3" s="89"/>
      <c r="K3" s="89"/>
      <c r="L3" s="89"/>
      <c r="M3" s="3"/>
    </row>
    <row r="4" spans="2:13" x14ac:dyDescent="0.2">
      <c r="B4" s="3"/>
      <c r="C4" s="89"/>
      <c r="D4" s="3"/>
      <c r="E4" s="3"/>
      <c r="F4" s="3"/>
      <c r="G4" s="3"/>
      <c r="H4" s="3"/>
      <c r="I4" s="3"/>
      <c r="J4" s="3"/>
      <c r="K4" s="3"/>
      <c r="L4" s="3"/>
      <c r="M4" s="3"/>
    </row>
    <row r="5" spans="2:13" ht="22.5" customHeight="1" x14ac:dyDescent="0.2">
      <c r="B5" s="3"/>
      <c r="C5" s="89"/>
      <c r="D5" s="108" t="s">
        <v>327</v>
      </c>
      <c r="E5" s="103"/>
      <c r="F5" s="103"/>
      <c r="G5" s="103"/>
      <c r="H5" s="103"/>
      <c r="I5" s="103"/>
      <c r="J5" s="103"/>
      <c r="K5" s="103"/>
      <c r="L5" s="103"/>
      <c r="M5" s="3"/>
    </row>
    <row r="6" spans="2:13" ht="180" customHeight="1" x14ac:dyDescent="0.2">
      <c r="B6" s="3"/>
      <c r="C6" s="93"/>
      <c r="D6" s="386" t="s">
        <v>333</v>
      </c>
      <c r="E6" s="386"/>
      <c r="F6" s="386"/>
      <c r="G6" s="386"/>
      <c r="H6" s="386"/>
      <c r="I6" s="386"/>
      <c r="J6" s="386"/>
      <c r="K6" s="386"/>
      <c r="L6" s="386"/>
      <c r="M6" s="3"/>
    </row>
    <row r="7" spans="2:13" x14ac:dyDescent="0.2">
      <c r="B7" s="3"/>
      <c r="C7" s="89"/>
      <c r="D7" s="89"/>
      <c r="E7" s="89"/>
      <c r="F7" s="89"/>
      <c r="G7" s="89"/>
      <c r="H7" s="89"/>
      <c r="I7" s="89"/>
      <c r="J7" s="89"/>
      <c r="K7" s="89"/>
      <c r="L7" s="89"/>
      <c r="M7" s="3"/>
    </row>
    <row r="9" spans="2:13" x14ac:dyDescent="0.2">
      <c r="B9" s="3"/>
      <c r="C9" s="3"/>
      <c r="D9" s="3"/>
      <c r="E9" s="3"/>
      <c r="F9" s="3"/>
      <c r="G9" s="3"/>
      <c r="H9" s="3"/>
      <c r="I9" s="3"/>
      <c r="J9" s="3"/>
      <c r="K9" s="3"/>
      <c r="L9" s="3"/>
      <c r="M9" s="3"/>
    </row>
    <row r="10" spans="2:13" x14ac:dyDescent="0.2">
      <c r="B10" s="3"/>
      <c r="C10" s="3"/>
      <c r="D10" s="3"/>
      <c r="E10" s="3"/>
      <c r="F10" s="3"/>
      <c r="G10" s="3"/>
      <c r="H10" s="3"/>
      <c r="I10" s="3"/>
      <c r="J10" s="3"/>
      <c r="K10" s="3"/>
      <c r="L10" s="3"/>
      <c r="M10" s="3"/>
    </row>
    <row r="11" spans="2:13" ht="18" x14ac:dyDescent="0.25">
      <c r="B11" s="3"/>
      <c r="C11" s="3"/>
      <c r="D11" s="85" t="s">
        <v>329</v>
      </c>
      <c r="E11" s="94"/>
      <c r="F11" s="95"/>
      <c r="G11" s="7"/>
      <c r="H11" s="7"/>
      <c r="I11" s="7"/>
      <c r="J11" s="7"/>
      <c r="K11" s="7"/>
      <c r="L11" s="3"/>
      <c r="M11" s="3"/>
    </row>
    <row r="12" spans="2:13" ht="14.25" x14ac:dyDescent="0.2">
      <c r="B12" s="3"/>
      <c r="C12" s="3"/>
      <c r="D12" s="3"/>
      <c r="E12" s="3"/>
      <c r="F12" s="3"/>
      <c r="G12" s="3"/>
      <c r="H12" s="7"/>
      <c r="I12" s="7"/>
      <c r="J12" s="7"/>
      <c r="K12" s="7"/>
      <c r="L12" s="3"/>
      <c r="M12" s="3"/>
    </row>
    <row r="13" spans="2:13" ht="14.25" customHeight="1" x14ac:dyDescent="0.2">
      <c r="B13" s="3"/>
      <c r="C13" s="3"/>
      <c r="D13" s="8"/>
      <c r="E13" s="388">
        <v>2025</v>
      </c>
      <c r="F13" s="388"/>
      <c r="G13" s="388"/>
      <c r="H13" s="13"/>
      <c r="I13" s="388">
        <v>2030</v>
      </c>
      <c r="J13" s="388"/>
      <c r="K13" s="388"/>
      <c r="L13" s="8"/>
      <c r="M13" s="3"/>
    </row>
    <row r="14" spans="2:13" x14ac:dyDescent="0.2">
      <c r="B14" s="3"/>
      <c r="C14" s="3"/>
      <c r="D14" s="3" t="s">
        <v>479</v>
      </c>
      <c r="E14" s="101" t="s">
        <v>83</v>
      </c>
      <c r="F14" s="101"/>
      <c r="G14" s="101" t="s">
        <v>80</v>
      </c>
      <c r="H14" s="13"/>
      <c r="I14" s="101" t="s">
        <v>83</v>
      </c>
      <c r="J14" s="101"/>
      <c r="K14" s="101" t="s">
        <v>80</v>
      </c>
      <c r="L14" s="8"/>
      <c r="M14" s="3"/>
    </row>
    <row r="15" spans="2:13" x14ac:dyDescent="0.2">
      <c r="B15" s="3"/>
      <c r="C15" s="3"/>
      <c r="D15" s="300"/>
      <c r="E15" s="3"/>
      <c r="F15" s="3"/>
      <c r="G15" s="3"/>
      <c r="H15" s="3"/>
      <c r="I15" s="3"/>
      <c r="J15" s="3"/>
      <c r="K15" s="3"/>
      <c r="L15" s="3"/>
      <c r="M15" s="3"/>
    </row>
    <row r="16" spans="2:13" ht="25.5" x14ac:dyDescent="0.2">
      <c r="B16" s="3"/>
      <c r="C16" s="3"/>
      <c r="D16" s="11" t="s">
        <v>482</v>
      </c>
      <c r="E16" s="79">
        <v>100000</v>
      </c>
      <c r="F16" s="15" t="s">
        <v>253</v>
      </c>
      <c r="G16" s="300"/>
      <c r="H16" s="15" t="s">
        <v>253</v>
      </c>
      <c r="I16" s="79">
        <v>100000</v>
      </c>
      <c r="J16" s="15" t="s">
        <v>253</v>
      </c>
      <c r="K16" s="300"/>
      <c r="L16" s="15" t="s">
        <v>253</v>
      </c>
      <c r="M16" s="3"/>
    </row>
    <row r="17" spans="2:27" x14ac:dyDescent="0.2">
      <c r="B17" s="3"/>
      <c r="C17" s="3"/>
      <c r="D17" s="8"/>
      <c r="E17" s="80"/>
      <c r="F17" s="15"/>
      <c r="G17" s="15"/>
      <c r="H17" s="15"/>
      <c r="I17" s="80"/>
      <c r="J17" s="15"/>
      <c r="K17" s="15"/>
      <c r="L17" s="3"/>
      <c r="M17" s="3"/>
    </row>
    <row r="18" spans="2:27" x14ac:dyDescent="0.2">
      <c r="B18" s="3"/>
      <c r="C18" s="3"/>
      <c r="D18" s="12" t="s">
        <v>223</v>
      </c>
      <c r="E18" s="79">
        <v>200000</v>
      </c>
      <c r="F18" s="15" t="s">
        <v>108</v>
      </c>
      <c r="G18" s="300"/>
      <c r="H18" s="15" t="s">
        <v>108</v>
      </c>
      <c r="I18" s="79">
        <v>0</v>
      </c>
      <c r="J18" s="15" t="s">
        <v>108</v>
      </c>
      <c r="K18" s="300"/>
      <c r="L18" s="3" t="s">
        <v>108</v>
      </c>
      <c r="M18" s="3"/>
    </row>
    <row r="19" spans="2:27" ht="14.25" x14ac:dyDescent="0.2">
      <c r="B19" s="3"/>
      <c r="C19" s="3"/>
      <c r="D19" s="78" t="s">
        <v>227</v>
      </c>
      <c r="E19" s="79">
        <v>1000</v>
      </c>
      <c r="F19" s="15" t="s">
        <v>109</v>
      </c>
      <c r="G19" s="300"/>
      <c r="H19" s="15" t="s">
        <v>109</v>
      </c>
      <c r="I19" s="79">
        <v>1000</v>
      </c>
      <c r="J19" s="15" t="s">
        <v>109</v>
      </c>
      <c r="K19" s="300"/>
      <c r="L19" s="3" t="s">
        <v>109</v>
      </c>
      <c r="M19" s="3"/>
    </row>
    <row r="20" spans="2:27" ht="14.25" x14ac:dyDescent="0.2">
      <c r="B20" s="3"/>
      <c r="C20" s="3"/>
      <c r="D20" s="78" t="s">
        <v>192</v>
      </c>
      <c r="E20" s="79">
        <v>0</v>
      </c>
      <c r="F20" s="15" t="s">
        <v>108</v>
      </c>
      <c r="G20" s="300"/>
      <c r="H20" s="15" t="s">
        <v>108</v>
      </c>
      <c r="I20" s="79">
        <v>0</v>
      </c>
      <c r="J20" s="15" t="s">
        <v>108</v>
      </c>
      <c r="K20" s="300"/>
      <c r="L20" s="3" t="s">
        <v>108</v>
      </c>
      <c r="M20" s="3"/>
    </row>
    <row r="21" spans="2:27" x14ac:dyDescent="0.2">
      <c r="B21" s="3"/>
      <c r="C21" s="3"/>
      <c r="D21" s="78"/>
      <c r="E21" s="78"/>
      <c r="F21" s="78"/>
      <c r="G21" s="78"/>
      <c r="H21" s="78"/>
      <c r="I21" s="78"/>
      <c r="J21" s="78"/>
      <c r="K21" s="78"/>
      <c r="L21" s="78"/>
      <c r="M21" s="3"/>
    </row>
    <row r="22" spans="2:27" x14ac:dyDescent="0.2">
      <c r="B22" s="3"/>
      <c r="C22" s="3"/>
      <c r="D22" s="78"/>
      <c r="E22" s="15"/>
      <c r="F22" s="15"/>
      <c r="G22" s="15"/>
      <c r="H22" s="15"/>
      <c r="I22" s="15"/>
      <c r="J22" s="15"/>
      <c r="K22" s="15"/>
      <c r="L22" s="15"/>
      <c r="M22" s="3"/>
    </row>
    <row r="23" spans="2:27" x14ac:dyDescent="0.2">
      <c r="B23" s="3"/>
      <c r="C23" s="3"/>
      <c r="D23" s="78" t="s">
        <v>25</v>
      </c>
      <c r="E23" s="79">
        <v>10</v>
      </c>
      <c r="F23" s="15" t="s">
        <v>101</v>
      </c>
      <c r="G23" s="116"/>
      <c r="H23" s="15" t="s">
        <v>101</v>
      </c>
      <c r="I23" s="79">
        <v>10</v>
      </c>
      <c r="J23" s="15" t="s">
        <v>101</v>
      </c>
      <c r="K23" s="116"/>
      <c r="L23" s="15" t="s">
        <v>101</v>
      </c>
      <c r="M23" s="3"/>
    </row>
    <row r="24" spans="2:27" x14ac:dyDescent="0.2">
      <c r="B24" s="3"/>
      <c r="C24" s="3"/>
      <c r="D24" s="78" t="s">
        <v>26</v>
      </c>
      <c r="E24" s="81">
        <v>8</v>
      </c>
      <c r="F24" s="15" t="s">
        <v>102</v>
      </c>
      <c r="G24" s="301"/>
      <c r="H24" s="15" t="s">
        <v>102</v>
      </c>
      <c r="I24" s="81">
        <v>8</v>
      </c>
      <c r="J24" s="15" t="s">
        <v>102</v>
      </c>
      <c r="K24" s="301"/>
      <c r="L24" s="15" t="s">
        <v>102</v>
      </c>
      <c r="M24" s="3"/>
    </row>
    <row r="25" spans="2:27" x14ac:dyDescent="0.2">
      <c r="B25" s="3"/>
      <c r="C25" s="3"/>
      <c r="D25" s="15"/>
      <c r="E25" s="81"/>
      <c r="F25" s="15"/>
      <c r="G25" s="15"/>
      <c r="H25" s="15"/>
      <c r="I25" s="80"/>
      <c r="J25" s="15"/>
      <c r="K25" s="15"/>
      <c r="L25" s="3"/>
      <c r="M25" s="3"/>
    </row>
    <row r="26" spans="2:27" x14ac:dyDescent="0.2">
      <c r="B26" s="3"/>
      <c r="C26" s="3"/>
      <c r="D26" s="15"/>
      <c r="E26" s="10"/>
      <c r="F26" s="3"/>
      <c r="G26" s="3"/>
      <c r="H26" s="3"/>
      <c r="I26" s="16"/>
      <c r="J26" s="3"/>
      <c r="K26" s="3"/>
      <c r="L26" s="3"/>
      <c r="M26" s="3"/>
    </row>
    <row r="27" spans="2:27" ht="13.5" x14ac:dyDescent="0.2">
      <c r="B27" s="3"/>
      <c r="C27" s="3"/>
      <c r="D27" s="65" t="s">
        <v>169</v>
      </c>
      <c r="E27" s="10"/>
      <c r="F27" s="3"/>
      <c r="G27" s="3"/>
      <c r="H27" s="3"/>
      <c r="I27" s="16"/>
      <c r="J27" s="3"/>
      <c r="K27" s="3"/>
      <c r="L27" s="3"/>
      <c r="M27" s="3"/>
    </row>
    <row r="28" spans="2:27" ht="13.5" x14ac:dyDescent="0.2">
      <c r="B28" s="3"/>
      <c r="C28" s="3"/>
      <c r="D28" s="65" t="s">
        <v>216</v>
      </c>
      <c r="E28" s="10"/>
      <c r="F28" s="3"/>
      <c r="G28" s="3"/>
      <c r="H28" s="3"/>
      <c r="I28" s="16"/>
      <c r="J28" s="3"/>
      <c r="K28" s="3"/>
      <c r="L28" s="3"/>
      <c r="M28" s="3"/>
    </row>
    <row r="29" spans="2:27" x14ac:dyDescent="0.2">
      <c r="B29" s="3"/>
      <c r="C29" s="3"/>
      <c r="D29" s="15"/>
      <c r="E29" s="10"/>
      <c r="F29" s="3"/>
      <c r="G29" s="3"/>
      <c r="H29" s="3"/>
      <c r="I29" s="16"/>
      <c r="J29" s="3"/>
      <c r="K29" s="3"/>
      <c r="L29" s="3"/>
      <c r="M29" s="3"/>
    </row>
    <row r="31" spans="2:27" x14ac:dyDescent="0.2">
      <c r="B31" s="3"/>
      <c r="C31" s="3"/>
      <c r="D31" s="14"/>
      <c r="E31" s="3"/>
      <c r="F31" s="3"/>
      <c r="G31" s="3"/>
      <c r="H31" s="3"/>
      <c r="I31" s="3"/>
      <c r="J31" s="3"/>
      <c r="K31" s="3"/>
      <c r="L31" s="3"/>
      <c r="M31" s="3"/>
      <c r="N31" s="3"/>
      <c r="O31" s="3"/>
      <c r="P31" s="3"/>
      <c r="Q31" s="3"/>
      <c r="R31" s="3"/>
      <c r="S31" s="3"/>
      <c r="T31" s="3"/>
      <c r="U31" s="3"/>
      <c r="V31" s="3"/>
      <c r="W31" s="3"/>
      <c r="X31" s="3"/>
      <c r="Y31" s="3"/>
      <c r="Z31" s="3"/>
      <c r="AA31" s="3"/>
    </row>
    <row r="32" spans="2:27" ht="18" x14ac:dyDescent="0.25">
      <c r="B32" s="3"/>
      <c r="C32" s="96" t="s">
        <v>248</v>
      </c>
      <c r="D32" s="14"/>
      <c r="E32" s="3"/>
      <c r="F32" s="3"/>
      <c r="G32" s="3"/>
      <c r="H32" s="3"/>
      <c r="I32" s="3"/>
      <c r="J32" s="3"/>
      <c r="K32" s="3"/>
      <c r="L32" s="3"/>
      <c r="M32" s="3"/>
      <c r="N32" s="3"/>
      <c r="O32" s="3"/>
      <c r="P32" s="3"/>
      <c r="Q32" s="3"/>
      <c r="R32" s="3"/>
      <c r="S32" s="3"/>
      <c r="T32" s="3"/>
      <c r="U32" s="3"/>
      <c r="V32" s="3"/>
      <c r="W32" s="3"/>
      <c r="X32" s="3"/>
      <c r="Y32" s="3"/>
      <c r="Z32" s="3"/>
      <c r="AA32" s="3"/>
    </row>
    <row r="33" spans="2:27" x14ac:dyDescent="0.2">
      <c r="B33" s="3"/>
      <c r="C33" s="3"/>
      <c r="D33" s="14"/>
      <c r="E33" s="3"/>
      <c r="F33" s="3"/>
      <c r="G33" s="3"/>
      <c r="H33" s="3"/>
      <c r="I33" s="3"/>
      <c r="J33" s="3"/>
      <c r="K33" s="3"/>
      <c r="L33" s="3"/>
      <c r="M33" s="3"/>
      <c r="N33" s="3"/>
      <c r="O33" s="3"/>
      <c r="P33" s="3"/>
      <c r="Q33" s="3"/>
      <c r="R33" s="3"/>
      <c r="S33" s="3"/>
      <c r="T33" s="3"/>
      <c r="U33" s="3"/>
      <c r="V33" s="3"/>
      <c r="W33" s="3"/>
      <c r="X33" s="3"/>
      <c r="Y33" s="3"/>
      <c r="Z33" s="3"/>
      <c r="AA33" s="3"/>
    </row>
    <row r="34" spans="2:27" ht="15" x14ac:dyDescent="0.25">
      <c r="B34" s="3"/>
      <c r="C34" s="91" t="s">
        <v>115</v>
      </c>
      <c r="D34" s="3"/>
      <c r="E34" s="3"/>
      <c r="F34" s="3"/>
      <c r="G34" s="3"/>
      <c r="H34" s="3"/>
      <c r="I34" s="3"/>
      <c r="J34" s="3"/>
      <c r="K34" s="91" t="s">
        <v>119</v>
      </c>
      <c r="L34" s="3"/>
      <c r="M34" s="3"/>
      <c r="N34" s="3"/>
      <c r="O34" s="3"/>
      <c r="P34" s="3"/>
      <c r="Q34" s="3"/>
      <c r="R34" s="3"/>
      <c r="S34" s="92" t="s">
        <v>87</v>
      </c>
      <c r="T34" s="3"/>
      <c r="U34" s="3"/>
      <c r="V34" s="3"/>
      <c r="W34" s="3"/>
      <c r="X34" s="3"/>
      <c r="Y34" s="3"/>
      <c r="Z34" s="3"/>
      <c r="AA34" s="3"/>
    </row>
    <row r="35" spans="2:27" x14ac:dyDescent="0.2">
      <c r="B35" s="3"/>
      <c r="C35" s="3"/>
      <c r="D35" s="14"/>
      <c r="E35" s="3"/>
      <c r="F35" s="3"/>
      <c r="G35" s="3"/>
      <c r="H35" s="3"/>
      <c r="I35" s="3"/>
      <c r="J35" s="3"/>
      <c r="K35" s="3"/>
      <c r="L35" s="3"/>
      <c r="M35" s="3"/>
      <c r="N35" s="3"/>
      <c r="O35" s="3"/>
      <c r="P35" s="3"/>
      <c r="Q35" s="3"/>
      <c r="R35" s="3"/>
      <c r="S35" s="3"/>
      <c r="T35" s="3"/>
      <c r="U35" s="3"/>
      <c r="V35" s="3"/>
      <c r="W35" s="3"/>
      <c r="X35" s="3"/>
      <c r="Y35" s="3"/>
      <c r="Z35" s="3"/>
      <c r="AA35" s="3"/>
    </row>
    <row r="36" spans="2:27" x14ac:dyDescent="0.2">
      <c r="B36" s="3"/>
      <c r="C36" s="3"/>
      <c r="D36" s="3"/>
      <c r="E36" s="3"/>
      <c r="F36" s="3"/>
      <c r="G36" s="3"/>
      <c r="H36" s="3"/>
      <c r="I36" s="3"/>
      <c r="J36" s="3"/>
      <c r="K36" s="3"/>
      <c r="L36" s="3"/>
      <c r="M36" s="3"/>
      <c r="N36" s="3"/>
      <c r="O36" s="3"/>
      <c r="P36" s="3"/>
      <c r="Q36" s="3"/>
      <c r="R36" s="3"/>
      <c r="S36" s="3"/>
      <c r="T36" s="3"/>
      <c r="U36" s="3"/>
      <c r="V36" s="3"/>
      <c r="W36" s="3"/>
      <c r="X36" s="3"/>
      <c r="Y36" s="3"/>
      <c r="Z36" s="3"/>
      <c r="AA36" s="3"/>
    </row>
    <row r="37" spans="2:27" x14ac:dyDescent="0.2">
      <c r="B37" s="3"/>
      <c r="C37" s="3"/>
      <c r="D37" s="3"/>
      <c r="E37" s="3"/>
      <c r="F37" s="3"/>
      <c r="G37" s="3"/>
      <c r="H37" s="3"/>
      <c r="I37" s="3"/>
      <c r="J37" s="3"/>
      <c r="K37" s="3"/>
      <c r="L37" s="3"/>
      <c r="M37" s="3"/>
      <c r="N37" s="3"/>
      <c r="O37" s="3"/>
      <c r="P37" s="3"/>
      <c r="Q37" s="3"/>
      <c r="R37" s="3"/>
      <c r="S37" s="3"/>
      <c r="T37" s="3"/>
      <c r="U37" s="3"/>
      <c r="V37" s="3"/>
      <c r="W37" s="3"/>
      <c r="X37" s="3"/>
      <c r="Y37" s="3"/>
      <c r="Z37" s="3"/>
      <c r="AA37" s="3"/>
    </row>
    <row r="38" spans="2:27" x14ac:dyDescent="0.2">
      <c r="B38" s="3"/>
      <c r="C38" s="3"/>
      <c r="D38" s="3"/>
      <c r="E38" s="3"/>
      <c r="F38" s="3"/>
      <c r="G38" s="3"/>
      <c r="H38" s="3"/>
      <c r="I38" s="3"/>
      <c r="J38" s="3"/>
      <c r="K38" s="3"/>
      <c r="L38" s="3"/>
      <c r="M38" s="3"/>
      <c r="N38" s="3"/>
      <c r="O38" s="3"/>
      <c r="P38" s="3"/>
      <c r="Q38" s="3"/>
      <c r="R38" s="3"/>
      <c r="S38" s="3"/>
      <c r="T38" s="3"/>
      <c r="U38" s="3"/>
      <c r="V38" s="3"/>
      <c r="W38" s="3"/>
      <c r="X38" s="3"/>
      <c r="Y38" s="3"/>
      <c r="Z38" s="3"/>
      <c r="AA38" s="3"/>
    </row>
    <row r="39" spans="2:27" x14ac:dyDescent="0.2">
      <c r="B39" s="3"/>
      <c r="C39" s="3"/>
      <c r="D39" s="3"/>
      <c r="E39" s="3"/>
      <c r="F39" s="3"/>
      <c r="G39" s="3"/>
      <c r="H39" s="3"/>
      <c r="I39" s="3"/>
      <c r="J39" s="3"/>
      <c r="K39" s="3"/>
      <c r="L39" s="3"/>
      <c r="M39" s="3"/>
      <c r="N39" s="3"/>
      <c r="O39" s="3"/>
      <c r="P39" s="3"/>
      <c r="Q39" s="3"/>
      <c r="R39" s="3"/>
      <c r="S39" s="3"/>
      <c r="T39" s="3"/>
      <c r="U39" s="3"/>
      <c r="V39" s="3"/>
      <c r="W39" s="3"/>
      <c r="X39" s="3"/>
      <c r="Y39" s="3"/>
      <c r="Z39" s="3"/>
      <c r="AA39" s="3"/>
    </row>
    <row r="40" spans="2:27" x14ac:dyDescent="0.2">
      <c r="B40" s="3"/>
      <c r="C40" s="3"/>
      <c r="D40" s="3"/>
      <c r="E40" s="3"/>
      <c r="F40" s="3"/>
      <c r="G40" s="3"/>
      <c r="H40" s="3"/>
      <c r="I40" s="3"/>
      <c r="J40" s="3"/>
      <c r="K40" s="3"/>
      <c r="L40" s="3"/>
      <c r="M40" s="3"/>
      <c r="N40" s="3"/>
      <c r="O40" s="3"/>
      <c r="P40" s="3"/>
      <c r="Q40" s="3"/>
      <c r="R40" s="3"/>
      <c r="S40" s="3"/>
      <c r="T40" s="3"/>
      <c r="U40" s="3"/>
      <c r="V40" s="3"/>
      <c r="W40" s="3"/>
      <c r="X40" s="3"/>
      <c r="Y40" s="3"/>
      <c r="Z40" s="3"/>
      <c r="AA40" s="3"/>
    </row>
    <row r="41" spans="2:27" x14ac:dyDescent="0.2">
      <c r="B41" s="3"/>
      <c r="C41" s="3"/>
      <c r="D41" s="3"/>
      <c r="E41" s="3"/>
      <c r="F41" s="3"/>
      <c r="G41" s="3"/>
      <c r="H41" s="3"/>
      <c r="I41" s="3"/>
      <c r="J41" s="3"/>
      <c r="K41" s="3"/>
      <c r="L41" s="3"/>
      <c r="M41" s="3"/>
      <c r="N41" s="3"/>
      <c r="O41" s="3"/>
      <c r="P41" s="3"/>
      <c r="Q41" s="3"/>
      <c r="R41" s="3"/>
      <c r="S41" s="3"/>
      <c r="T41" s="3"/>
      <c r="U41" s="3"/>
      <c r="V41" s="3"/>
      <c r="W41" s="3"/>
      <c r="X41" s="3"/>
      <c r="Y41" s="3"/>
      <c r="Z41" s="3"/>
      <c r="AA41" s="3"/>
    </row>
    <row r="42" spans="2:27" x14ac:dyDescent="0.2">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x14ac:dyDescent="0.2">
      <c r="B43" s="3"/>
      <c r="C43" s="3"/>
      <c r="D43" s="3"/>
      <c r="E43" s="3"/>
      <c r="F43" s="3"/>
      <c r="G43" s="3"/>
      <c r="H43" s="3"/>
      <c r="I43" s="3"/>
      <c r="J43" s="3"/>
      <c r="K43" s="3"/>
      <c r="L43" s="3"/>
      <c r="M43" s="3"/>
      <c r="N43" s="3"/>
      <c r="O43" s="3"/>
      <c r="P43" s="3"/>
      <c r="Q43" s="3"/>
      <c r="R43" s="3"/>
      <c r="S43" s="3"/>
      <c r="T43" s="3"/>
      <c r="U43" s="3"/>
      <c r="V43" s="3"/>
      <c r="W43" s="3"/>
      <c r="X43" s="3"/>
      <c r="Y43" s="3"/>
      <c r="Z43" s="3"/>
      <c r="AA43" s="3"/>
    </row>
    <row r="44" spans="2:27" x14ac:dyDescent="0.2">
      <c r="B44" s="3"/>
      <c r="C44" s="3"/>
      <c r="D44" s="3"/>
      <c r="E44" s="3"/>
      <c r="F44" s="3"/>
      <c r="G44" s="3"/>
      <c r="H44" s="3"/>
      <c r="I44" s="3"/>
      <c r="J44" s="3"/>
      <c r="K44" s="3"/>
      <c r="L44" s="3"/>
      <c r="M44" s="3"/>
      <c r="N44" s="3"/>
      <c r="O44" s="3"/>
      <c r="P44" s="3"/>
      <c r="Q44" s="3"/>
      <c r="R44" s="3"/>
      <c r="S44" s="3"/>
      <c r="T44" s="3"/>
      <c r="U44" s="3"/>
      <c r="V44" s="3"/>
      <c r="W44" s="3"/>
      <c r="X44" s="3"/>
      <c r="Y44" s="3"/>
      <c r="Z44" s="3"/>
      <c r="AA44" s="3"/>
    </row>
    <row r="45" spans="2:27" x14ac:dyDescent="0.2">
      <c r="B45" s="3"/>
      <c r="C45" s="3"/>
      <c r="D45" s="3"/>
      <c r="E45" s="3"/>
      <c r="F45" s="3"/>
      <c r="G45" s="3"/>
      <c r="H45" s="3"/>
      <c r="I45" s="3"/>
      <c r="J45" s="3"/>
      <c r="K45" s="3"/>
      <c r="L45" s="3"/>
      <c r="M45" s="3"/>
      <c r="N45" s="3"/>
      <c r="O45" s="3"/>
      <c r="P45" s="3"/>
      <c r="Q45" s="3"/>
      <c r="R45" s="3"/>
      <c r="S45" s="3"/>
      <c r="T45" s="3"/>
      <c r="U45" s="3"/>
      <c r="V45" s="3"/>
      <c r="W45" s="3"/>
      <c r="X45" s="3"/>
      <c r="Y45" s="3"/>
      <c r="Z45" s="3"/>
      <c r="AA45" s="3"/>
    </row>
    <row r="46" spans="2:27" x14ac:dyDescent="0.2">
      <c r="B46" s="3"/>
      <c r="C46" s="3"/>
      <c r="D46" s="3"/>
      <c r="E46" s="3"/>
      <c r="F46" s="3"/>
      <c r="G46" s="3"/>
      <c r="H46" s="3"/>
      <c r="I46" s="3"/>
      <c r="J46" s="3"/>
      <c r="K46" s="3"/>
      <c r="L46" s="3"/>
      <c r="M46" s="3"/>
      <c r="N46" s="3"/>
      <c r="O46" s="3"/>
      <c r="P46" s="3"/>
      <c r="Q46" s="3"/>
      <c r="R46" s="3"/>
      <c r="S46" s="3"/>
      <c r="T46" s="3"/>
      <c r="U46" s="3"/>
      <c r="V46" s="3"/>
      <c r="W46" s="3"/>
      <c r="X46" s="3"/>
      <c r="Y46" s="3"/>
      <c r="Z46" s="3"/>
      <c r="AA46" s="3"/>
    </row>
    <row r="47" spans="2:27" x14ac:dyDescent="0.2">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3"/>
      <c r="E48" s="3"/>
      <c r="F48" s="3"/>
      <c r="G48" s="3"/>
      <c r="H48" s="3"/>
      <c r="I48" s="3"/>
      <c r="J48" s="3"/>
      <c r="K48" s="3"/>
      <c r="L48" s="3"/>
      <c r="M48" s="3"/>
      <c r="N48" s="3"/>
      <c r="O48" s="3"/>
      <c r="P48" s="3"/>
      <c r="Q48" s="3"/>
      <c r="R48" s="3"/>
      <c r="S48" s="3"/>
      <c r="T48" s="3"/>
      <c r="U48" s="3"/>
      <c r="V48" s="3"/>
      <c r="W48" s="3"/>
      <c r="X48" s="3"/>
      <c r="Y48" s="3"/>
      <c r="Z48" s="3"/>
      <c r="AA48" s="3"/>
    </row>
    <row r="49" spans="2:27" x14ac:dyDescent="0.2">
      <c r="B49" s="3"/>
      <c r="C49" s="3"/>
      <c r="D49" s="3"/>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ht="15" customHeight="1" x14ac:dyDescent="0.25">
      <c r="B66" s="3"/>
      <c r="C66" s="96"/>
      <c r="D66" s="62"/>
      <c r="E66" s="3"/>
      <c r="F66" s="3"/>
      <c r="G66" s="3"/>
      <c r="H66" s="3"/>
      <c r="I66" s="3"/>
      <c r="J66" s="3"/>
      <c r="K66" s="3"/>
      <c r="L66" s="3"/>
      <c r="M66" s="3"/>
      <c r="N66" s="3"/>
      <c r="O66" s="3"/>
      <c r="P66" s="3"/>
      <c r="Q66" s="3"/>
      <c r="R66" s="3"/>
      <c r="S66" s="3"/>
      <c r="T66" s="3"/>
      <c r="U66" s="3"/>
      <c r="V66" s="3"/>
      <c r="W66" s="3"/>
      <c r="X66" s="3"/>
      <c r="Y66" s="84"/>
      <c r="Z66" s="84"/>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83"/>
      <c r="Z67" s="8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83"/>
      <c r="Z68" s="83"/>
      <c r="AA68" s="3"/>
    </row>
    <row r="69" spans="2:27" ht="15" customHeight="1" x14ac:dyDescent="0.25">
      <c r="B69" s="3"/>
      <c r="C69" s="3"/>
      <c r="D69" s="23" t="s">
        <v>116</v>
      </c>
      <c r="E69" s="24"/>
      <c r="F69" s="24"/>
      <c r="G69" s="24"/>
      <c r="H69" s="24"/>
      <c r="I69" s="3"/>
      <c r="J69" s="3"/>
      <c r="K69" s="3"/>
      <c r="L69" s="23" t="s">
        <v>195</v>
      </c>
      <c r="M69" s="24"/>
      <c r="N69" s="24"/>
      <c r="O69" s="24"/>
      <c r="P69" s="24"/>
      <c r="Q69" s="3"/>
      <c r="R69" s="3"/>
      <c r="S69" s="3"/>
      <c r="T69" s="23" t="s">
        <v>200</v>
      </c>
      <c r="U69" s="24"/>
      <c r="V69" s="24"/>
      <c r="W69" s="24"/>
      <c r="X69" s="3"/>
      <c r="Y69" s="83"/>
      <c r="Z69" s="83"/>
      <c r="AA69" s="3"/>
    </row>
    <row r="70" spans="2:27" ht="15" customHeight="1" x14ac:dyDescent="0.25">
      <c r="B70" s="3"/>
      <c r="C70" s="387" t="s">
        <v>147</v>
      </c>
      <c r="D70" s="46"/>
      <c r="E70" s="46">
        <v>2020</v>
      </c>
      <c r="F70" s="47">
        <v>2025</v>
      </c>
      <c r="G70" s="47">
        <v>2030</v>
      </c>
      <c r="H70" s="34"/>
      <c r="I70" s="3"/>
      <c r="J70" s="3"/>
      <c r="K70" s="3"/>
      <c r="L70" s="34"/>
      <c r="M70" s="46">
        <v>2020</v>
      </c>
      <c r="N70" s="47">
        <v>2025</v>
      </c>
      <c r="O70" s="47">
        <v>2030</v>
      </c>
      <c r="P70" s="34"/>
      <c r="Q70" s="3"/>
      <c r="R70" s="3"/>
      <c r="S70" s="387" t="s">
        <v>147</v>
      </c>
      <c r="T70" s="34"/>
      <c r="U70" s="47">
        <v>2020</v>
      </c>
      <c r="V70" s="47">
        <v>2025</v>
      </c>
      <c r="W70" s="47">
        <v>2030</v>
      </c>
      <c r="X70" s="3"/>
      <c r="Y70" s="83"/>
      <c r="Z70" s="83"/>
      <c r="AA70" s="63"/>
    </row>
    <row r="71" spans="2:27" x14ac:dyDescent="0.2">
      <c r="B71" s="3"/>
      <c r="C71" s="387"/>
      <c r="D71" s="24"/>
      <c r="E71" s="48" t="s">
        <v>92</v>
      </c>
      <c r="F71" s="49"/>
      <c r="G71" s="49"/>
      <c r="H71" s="24"/>
      <c r="I71" s="3"/>
      <c r="J71" s="3"/>
      <c r="K71" s="3"/>
      <c r="L71" s="24"/>
      <c r="M71" s="48" t="s">
        <v>92</v>
      </c>
      <c r="N71" s="49"/>
      <c r="O71" s="49"/>
      <c r="P71" s="24"/>
      <c r="Q71" s="3"/>
      <c r="R71" s="3"/>
      <c r="S71" s="387"/>
      <c r="T71" s="24"/>
      <c r="U71" s="50" t="s">
        <v>92</v>
      </c>
      <c r="V71" s="50"/>
      <c r="W71" s="59"/>
      <c r="X71" s="3"/>
      <c r="Y71" s="83"/>
      <c r="Z71" s="83"/>
      <c r="AA71" s="63"/>
    </row>
    <row r="72" spans="2:27" ht="15.75" x14ac:dyDescent="0.3">
      <c r="B72" s="3"/>
      <c r="C72" s="3"/>
      <c r="D72" s="29" t="s">
        <v>32</v>
      </c>
      <c r="E72" s="32">
        <f>'Referenz Pflasterwerk'!$U$16+'Referenz Pflasterwerk'!U21</f>
        <v>8.2422000000000004</v>
      </c>
      <c r="F72" s="32">
        <f>J147+J152</f>
        <v>8.2422000000000004</v>
      </c>
      <c r="G72" s="32">
        <f>J218+J223</f>
        <v>8.2422000000000004</v>
      </c>
      <c r="H72" s="25" t="s">
        <v>164</v>
      </c>
      <c r="I72" s="3"/>
      <c r="J72" s="3"/>
      <c r="K72" s="3"/>
      <c r="L72" s="29" t="s">
        <v>118</v>
      </c>
      <c r="M72" s="26">
        <f>'Referenz Pflasterwerk'!Q74</f>
        <v>106.60088015999999</v>
      </c>
      <c r="N72" s="26">
        <f>F204</f>
        <v>106.60088015999999</v>
      </c>
      <c r="O72" s="26">
        <f>F275</f>
        <v>106.60088015999999</v>
      </c>
      <c r="P72" s="25" t="s">
        <v>164</v>
      </c>
      <c r="Q72" s="3"/>
      <c r="R72" s="3"/>
      <c r="S72" s="3"/>
      <c r="T72" s="57" t="s">
        <v>160</v>
      </c>
      <c r="U72" s="58">
        <f>SUM(U73:U79)</f>
        <v>172669</v>
      </c>
      <c r="V72" s="58">
        <f t="shared" ref="V72:W72" si="0">SUM(V73:V79)</f>
        <v>155469</v>
      </c>
      <c r="W72" s="58">
        <f t="shared" si="0"/>
        <v>155469</v>
      </c>
      <c r="X72" s="3"/>
      <c r="Y72" s="115"/>
      <c r="Z72" s="115"/>
      <c r="AA72" s="63"/>
    </row>
    <row r="73" spans="2:27" ht="15.75" x14ac:dyDescent="0.3">
      <c r="B73" s="3"/>
      <c r="C73" s="3"/>
      <c r="D73" s="8" t="s">
        <v>33</v>
      </c>
      <c r="E73" s="10">
        <f>'Referenz Pflasterwerk'!$U$17+'Referenz Pflasterwerk'!U22</f>
        <v>2.6676000000000002</v>
      </c>
      <c r="F73" s="10">
        <f>J148+J153</f>
        <v>2.6676000000000002</v>
      </c>
      <c r="G73" s="10">
        <f>J219+J224</f>
        <v>2.6676000000000002</v>
      </c>
      <c r="H73" s="3" t="s">
        <v>164</v>
      </c>
      <c r="I73" s="3"/>
      <c r="J73" s="3"/>
      <c r="K73" s="3"/>
      <c r="L73" s="8" t="s">
        <v>28</v>
      </c>
      <c r="M73" s="9">
        <f>'Referenz Pflasterwerk'!R74</f>
        <v>286.5</v>
      </c>
      <c r="N73" s="9">
        <f>G204</f>
        <v>180.40020135036377</v>
      </c>
      <c r="O73" s="9">
        <f>G275</f>
        <v>88.909245888826362</v>
      </c>
      <c r="P73" s="3" t="s">
        <v>164</v>
      </c>
      <c r="Q73" s="3"/>
      <c r="R73" s="3"/>
      <c r="S73" s="3"/>
      <c r="T73" s="31" t="s">
        <v>32</v>
      </c>
      <c r="U73" s="52">
        <f>'Referenz Pflasterwerk'!AB16</f>
        <v>2745</v>
      </c>
      <c r="V73" s="52">
        <f>S147+S152</f>
        <v>2745</v>
      </c>
      <c r="W73" s="52">
        <f>S218+S223</f>
        <v>2745</v>
      </c>
      <c r="X73" s="3"/>
      <c r="Y73" s="115"/>
      <c r="Z73" s="115"/>
      <c r="AA73" s="63"/>
    </row>
    <row r="74" spans="2:27" ht="15.75" x14ac:dyDescent="0.3">
      <c r="B74" s="3"/>
      <c r="C74" s="3"/>
      <c r="D74" s="29" t="s">
        <v>34</v>
      </c>
      <c r="E74" s="32">
        <f>'Referenz Pflasterwerk'!$U$18+'Referenz Pflasterwerk'!R24</f>
        <v>286.5</v>
      </c>
      <c r="F74" s="32">
        <f>J149+J155</f>
        <v>180.40020135036377</v>
      </c>
      <c r="G74" s="32">
        <f>J220+J226</f>
        <v>88.909245888826362</v>
      </c>
      <c r="H74" s="25" t="s">
        <v>164</v>
      </c>
      <c r="I74" s="3"/>
      <c r="J74" s="3"/>
      <c r="K74" s="3"/>
      <c r="L74" s="29" t="s">
        <v>29</v>
      </c>
      <c r="M74" s="26">
        <f>'Referenz Pflasterwerk'!S74</f>
        <v>10520.622960446901</v>
      </c>
      <c r="N74" s="26">
        <f>H204</f>
        <v>10510.64046326266</v>
      </c>
      <c r="O74" s="26">
        <f>H275</f>
        <v>10497.228176598141</v>
      </c>
      <c r="P74" s="25" t="s">
        <v>164</v>
      </c>
      <c r="Q74" s="3"/>
      <c r="R74" s="3"/>
      <c r="S74" s="3"/>
      <c r="T74" s="31" t="s">
        <v>33</v>
      </c>
      <c r="U74" s="52">
        <f>'Referenz Pflasterwerk'!AB17</f>
        <v>460</v>
      </c>
      <c r="V74" s="52">
        <f>S148+S153</f>
        <v>460</v>
      </c>
      <c r="W74" s="52">
        <f>S219+S224</f>
        <v>460</v>
      </c>
      <c r="X74" s="3"/>
      <c r="Y74" s="115"/>
      <c r="Z74" s="115"/>
      <c r="AA74" s="63"/>
    </row>
    <row r="75" spans="2:27" ht="16.5" thickBot="1" x14ac:dyDescent="0.35">
      <c r="B75" s="3"/>
      <c r="C75" s="3"/>
      <c r="D75" s="8" t="s">
        <v>129</v>
      </c>
      <c r="E75" s="10">
        <f>'Referenz Pflasterwerk'!$U$19</f>
        <v>0</v>
      </c>
      <c r="F75" s="10">
        <f>J150</f>
        <v>0</v>
      </c>
      <c r="G75" s="10">
        <f>J221</f>
        <v>0</v>
      </c>
      <c r="H75" s="3" t="s">
        <v>164</v>
      </c>
      <c r="I75" s="3"/>
      <c r="J75" s="3"/>
      <c r="K75" s="3"/>
      <c r="L75" s="27" t="s">
        <v>70</v>
      </c>
      <c r="M75" s="28">
        <f>SUM(M72:M74)</f>
        <v>10913.723840606901</v>
      </c>
      <c r="N75" s="28">
        <f t="shared" ref="N75:O75" si="1">SUM(N72:N74)</f>
        <v>10797.641544773023</v>
      </c>
      <c r="O75" s="28">
        <f t="shared" si="1"/>
        <v>10692.738302646967</v>
      </c>
      <c r="P75" s="27" t="s">
        <v>165</v>
      </c>
      <c r="Q75" s="3"/>
      <c r="R75" s="3"/>
      <c r="S75" s="3"/>
      <c r="T75" s="31" t="s">
        <v>34</v>
      </c>
      <c r="U75" s="52">
        <f>'Referenz Pflasterwerk'!AB18</f>
        <v>129000</v>
      </c>
      <c r="V75" s="52">
        <f>S149+S155</f>
        <v>111800</v>
      </c>
      <c r="W75" s="52">
        <f>S220+S226</f>
        <v>111800</v>
      </c>
      <c r="X75" s="3"/>
      <c r="Y75" s="115"/>
      <c r="Z75" s="115"/>
      <c r="AA75" s="63"/>
    </row>
    <row r="76" spans="2:27" ht="16.5" thickTop="1" x14ac:dyDescent="0.3">
      <c r="B76" s="3"/>
      <c r="C76" s="3"/>
      <c r="D76" s="29" t="s">
        <v>125</v>
      </c>
      <c r="E76" s="32">
        <f>'Referenz Pflasterwerk'!$U$25</f>
        <v>0</v>
      </c>
      <c r="F76" s="32">
        <f>J156</f>
        <v>0</v>
      </c>
      <c r="G76" s="32">
        <f>J227</f>
        <v>0</v>
      </c>
      <c r="H76" s="25" t="s">
        <v>164</v>
      </c>
      <c r="I76" s="3"/>
      <c r="J76" s="3"/>
      <c r="K76" s="3"/>
      <c r="L76" s="3"/>
      <c r="M76" s="3"/>
      <c r="N76" s="3"/>
      <c r="O76" s="3"/>
      <c r="P76" s="3"/>
      <c r="Q76" s="3"/>
      <c r="R76" s="3"/>
      <c r="S76" s="3"/>
      <c r="T76" s="31" t="s">
        <v>125</v>
      </c>
      <c r="U76" s="52">
        <f>'Referenz Pflasterwerk'!AB19</f>
        <v>0</v>
      </c>
      <c r="V76" s="52">
        <f>S156</f>
        <v>0</v>
      </c>
      <c r="W76" s="52">
        <f>S227</f>
        <v>0</v>
      </c>
      <c r="X76" s="3"/>
      <c r="Y76" s="115"/>
      <c r="Z76" s="115"/>
      <c r="AA76" s="63"/>
    </row>
    <row r="77" spans="2:27" ht="15.75" x14ac:dyDescent="0.3">
      <c r="B77" s="3"/>
      <c r="C77" s="3"/>
      <c r="D77" s="8" t="s">
        <v>151</v>
      </c>
      <c r="E77" s="10">
        <f>'Referenz Pflasterwerk'!$U$26</f>
        <v>0</v>
      </c>
      <c r="F77" s="10">
        <f>J157</f>
        <v>0</v>
      </c>
      <c r="G77" s="10">
        <f>J228</f>
        <v>0</v>
      </c>
      <c r="H77" s="3" t="s">
        <v>164</v>
      </c>
      <c r="I77" s="3"/>
      <c r="J77" s="3"/>
      <c r="K77" s="3"/>
      <c r="L77" s="3"/>
      <c r="M77" s="3"/>
      <c r="N77" s="3"/>
      <c r="O77" s="3"/>
      <c r="P77" s="3"/>
      <c r="Q77" s="3"/>
      <c r="R77" s="3"/>
      <c r="S77" s="3"/>
      <c r="T77" s="31" t="s">
        <v>126</v>
      </c>
      <c r="U77" s="52">
        <f>'Referenz Pflasterwerk'!AB20</f>
        <v>0</v>
      </c>
      <c r="V77" s="52">
        <f>S150</f>
        <v>0</v>
      </c>
      <c r="W77" s="52">
        <f>S221</f>
        <v>0</v>
      </c>
      <c r="X77" s="3"/>
      <c r="Y77" s="115"/>
      <c r="Z77" s="115"/>
      <c r="AA77" s="63"/>
    </row>
    <row r="78" spans="2:27" ht="15.75" x14ac:dyDescent="0.3">
      <c r="B78" s="3"/>
      <c r="C78" s="3"/>
      <c r="D78" s="29" t="s">
        <v>35</v>
      </c>
      <c r="E78" s="32">
        <f>'Referenz Pflasterwerk'!$U$28+'Referenz Pflasterwerk'!$U$29</f>
        <v>95.691080159999984</v>
      </c>
      <c r="F78" s="32">
        <f>J159+J160</f>
        <v>95.691080159999984</v>
      </c>
      <c r="G78" s="32">
        <f>J230+J231</f>
        <v>95.691080159999984</v>
      </c>
      <c r="H78" s="25" t="s">
        <v>164</v>
      </c>
      <c r="I78" s="3"/>
      <c r="J78" s="3"/>
      <c r="K78" s="3"/>
      <c r="L78" s="23" t="s">
        <v>193</v>
      </c>
      <c r="M78" s="24"/>
      <c r="N78" s="24"/>
      <c r="O78" s="24"/>
      <c r="P78" s="24"/>
      <c r="Q78" s="3"/>
      <c r="R78" s="3"/>
      <c r="S78" s="3"/>
      <c r="T78" s="31" t="s">
        <v>463</v>
      </c>
      <c r="U78" s="52">
        <f>'Referenz Pflasterwerk'!AB21</f>
        <v>0</v>
      </c>
      <c r="V78" s="52">
        <f>S157</f>
        <v>0</v>
      </c>
      <c r="W78" s="52">
        <f>S228</f>
        <v>0</v>
      </c>
      <c r="X78" s="3"/>
      <c r="Y78" s="115"/>
      <c r="Z78" s="115"/>
      <c r="AA78" s="63"/>
    </row>
    <row r="79" spans="2:27" ht="15.75" thickBot="1" x14ac:dyDescent="0.3">
      <c r="B79" s="3"/>
      <c r="C79" s="3"/>
      <c r="D79" s="27" t="s">
        <v>70</v>
      </c>
      <c r="E79" s="33">
        <f>SUM(E72:E78)</f>
        <v>393.10088015999997</v>
      </c>
      <c r="F79" s="33">
        <f>SUM(F72:F78)</f>
        <v>287.00108151036375</v>
      </c>
      <c r="G79" s="33">
        <f>SUM(G72:G78)</f>
        <v>195.51012604882635</v>
      </c>
      <c r="H79" s="27" t="s">
        <v>165</v>
      </c>
      <c r="I79" s="3"/>
      <c r="J79" s="3"/>
      <c r="K79" s="387" t="s">
        <v>147</v>
      </c>
      <c r="L79" s="34"/>
      <c r="M79" s="46">
        <v>2020</v>
      </c>
      <c r="N79" s="47">
        <v>2025</v>
      </c>
      <c r="O79" s="47">
        <v>2030</v>
      </c>
      <c r="P79" s="34"/>
      <c r="Q79" s="3"/>
      <c r="R79" s="3"/>
      <c r="S79" s="3"/>
      <c r="T79" s="51" t="s">
        <v>35</v>
      </c>
      <c r="U79" s="53">
        <f>'Referenz Pflasterwerk'!AB22</f>
        <v>40464.000000000007</v>
      </c>
      <c r="V79" s="54">
        <f>S159+S160</f>
        <v>40464</v>
      </c>
      <c r="W79" s="54">
        <f>S230+S231</f>
        <v>40464</v>
      </c>
      <c r="X79" s="3"/>
      <c r="Y79" s="115"/>
      <c r="Z79" s="115"/>
      <c r="AA79" s="63"/>
    </row>
    <row r="80" spans="2:27" ht="13.5" thickTop="1" x14ac:dyDescent="0.2">
      <c r="B80" s="3"/>
      <c r="C80" s="3"/>
      <c r="D80" s="3"/>
      <c r="E80" s="3"/>
      <c r="F80" s="3"/>
      <c r="G80" s="3"/>
      <c r="H80" s="3"/>
      <c r="I80" s="3"/>
      <c r="J80" s="3"/>
      <c r="K80" s="387"/>
      <c r="L80" s="24"/>
      <c r="M80" s="48" t="s">
        <v>92</v>
      </c>
      <c r="N80" s="49"/>
      <c r="O80" s="49"/>
      <c r="P80" s="24"/>
      <c r="Q80" s="3"/>
      <c r="R80" s="3"/>
      <c r="S80" s="3"/>
      <c r="T80" s="8" t="s">
        <v>31</v>
      </c>
      <c r="U80" s="55">
        <v>0</v>
      </c>
      <c r="V80" s="55">
        <f>S163</f>
        <v>36000</v>
      </c>
      <c r="W80" s="55">
        <f>S234</f>
        <v>36000</v>
      </c>
      <c r="X80" s="3"/>
      <c r="Y80" s="115"/>
      <c r="Z80" s="115"/>
      <c r="AA80" s="63"/>
    </row>
    <row r="81" spans="2:27" ht="15.75" x14ac:dyDescent="0.3">
      <c r="B81" s="3"/>
      <c r="C81" s="3"/>
      <c r="D81" s="3"/>
      <c r="E81" s="3"/>
      <c r="F81" s="3"/>
      <c r="G81" s="3"/>
      <c r="H81" s="3"/>
      <c r="I81" s="3"/>
      <c r="J81" s="3"/>
      <c r="K81" s="3"/>
      <c r="L81" s="29" t="str">
        <f>C145</f>
        <v>Energieträger gesamt</v>
      </c>
      <c r="M81" s="26">
        <f>SUM('Referenz Pflasterwerk'!S16:S29)</f>
        <v>60.712972560000004</v>
      </c>
      <c r="N81" s="26">
        <f>H145</f>
        <v>50.730475375760143</v>
      </c>
      <c r="O81" s="26">
        <f>H216</f>
        <v>37.318188711241561</v>
      </c>
      <c r="P81" s="25" t="s">
        <v>164</v>
      </c>
      <c r="Q81" s="3"/>
      <c r="R81" s="3"/>
      <c r="S81" s="3"/>
      <c r="T81" s="8" t="s">
        <v>155</v>
      </c>
      <c r="U81" s="55">
        <v>0</v>
      </c>
      <c r="V81" s="55">
        <f>S164</f>
        <v>1000</v>
      </c>
      <c r="W81" s="55">
        <f>S235</f>
        <v>1000</v>
      </c>
      <c r="X81" s="3"/>
      <c r="Y81" s="115"/>
      <c r="Z81" s="115"/>
      <c r="AA81" s="63"/>
    </row>
    <row r="82" spans="2:27" ht="15.75" x14ac:dyDescent="0.3">
      <c r="B82" s="3"/>
      <c r="C82" s="3"/>
      <c r="D82" s="3"/>
      <c r="E82" s="3"/>
      <c r="F82" s="3"/>
      <c r="G82" s="3"/>
      <c r="H82" s="3"/>
      <c r="I82" s="3"/>
      <c r="J82" s="3"/>
      <c r="K82" s="3"/>
      <c r="L82" s="8" t="str">
        <f>C161</f>
        <v>Transport gesamt</v>
      </c>
      <c r="M82" s="9">
        <f>'Referenz Pflasterwerk'!S32+'Referenz Pflasterwerk'!S33</f>
        <v>578.62626120000004</v>
      </c>
      <c r="N82" s="9">
        <f>H161</f>
        <v>578.62626120000004</v>
      </c>
      <c r="O82" s="9">
        <f>H232</f>
        <v>578.62626120000004</v>
      </c>
      <c r="P82" s="3" t="s">
        <v>164</v>
      </c>
      <c r="Q82" s="3"/>
      <c r="R82" s="3"/>
      <c r="S82" s="3"/>
      <c r="T82" s="59" t="s">
        <v>162</v>
      </c>
      <c r="U82" s="61">
        <v>0</v>
      </c>
      <c r="V82" s="61">
        <f>S165</f>
        <v>0</v>
      </c>
      <c r="W82" s="61">
        <f>S236</f>
        <v>0</v>
      </c>
      <c r="X82" s="3"/>
      <c r="Y82" s="115"/>
      <c r="Z82" s="115"/>
      <c r="AA82" s="63"/>
    </row>
    <row r="83" spans="2:27" ht="15.75" x14ac:dyDescent="0.3">
      <c r="B83" s="3"/>
      <c r="C83" s="3"/>
      <c r="D83" s="3"/>
      <c r="E83" s="3"/>
      <c r="F83" s="3"/>
      <c r="G83" s="3"/>
      <c r="H83" s="3"/>
      <c r="I83" s="3"/>
      <c r="J83" s="3"/>
      <c r="K83" s="3"/>
      <c r="L83" s="29" t="str">
        <f>C165</f>
        <v>Zement</v>
      </c>
      <c r="M83" s="26">
        <f>'Referenz Pflasterwerk'!S35</f>
        <v>7683.24</v>
      </c>
      <c r="N83" s="26">
        <f>H165</f>
        <v>7683.24</v>
      </c>
      <c r="O83" s="26">
        <f>H236</f>
        <v>7683.24</v>
      </c>
      <c r="P83" s="25" t="s">
        <v>164</v>
      </c>
      <c r="Q83" s="3"/>
      <c r="R83" s="3"/>
      <c r="S83" s="3"/>
      <c r="T83" s="57" t="s">
        <v>156</v>
      </c>
      <c r="U83" s="58">
        <f>SUM(U84:U86)</f>
        <v>272843.09601517254</v>
      </c>
      <c r="V83" s="58">
        <f t="shared" ref="V83:W83" si="2">SUM(V84:V86)</f>
        <v>485893.86951478611</v>
      </c>
      <c r="W83" s="58">
        <f t="shared" si="2"/>
        <v>855419.06421175739</v>
      </c>
      <c r="X83" s="3"/>
      <c r="Y83" s="115"/>
      <c r="Z83" s="115"/>
      <c r="AA83" s="63"/>
    </row>
    <row r="84" spans="2:27" ht="15.75" x14ac:dyDescent="0.3">
      <c r="B84" s="3"/>
      <c r="C84" s="3"/>
      <c r="D84" s="3"/>
      <c r="E84" s="3"/>
      <c r="F84" s="3"/>
      <c r="G84" s="3"/>
      <c r="H84" s="3"/>
      <c r="I84" s="3"/>
      <c r="J84" s="3"/>
      <c r="K84" s="3"/>
      <c r="L84" s="8" t="str">
        <f>C171</f>
        <v>Gesteinskörnungen (Zuschlagsstoffe)</v>
      </c>
      <c r="M84" s="9">
        <f>'Referenz Pflasterwerk'!S41</f>
        <v>387.03000000000003</v>
      </c>
      <c r="N84" s="9">
        <f>H171</f>
        <v>387.03000000000003</v>
      </c>
      <c r="O84" s="9">
        <f>H242</f>
        <v>387.03000000000003</v>
      </c>
      <c r="P84" s="3" t="s">
        <v>164</v>
      </c>
      <c r="Q84" s="3"/>
      <c r="R84" s="3"/>
      <c r="S84" s="3"/>
      <c r="T84" s="31" t="s">
        <v>157</v>
      </c>
      <c r="U84" s="52">
        <f>'Referenz Pflasterwerk'!AB26</f>
        <v>2665.0220039999999</v>
      </c>
      <c r="V84" s="52">
        <f>S168</f>
        <v>4797.0396071999994</v>
      </c>
      <c r="W84" s="52">
        <f>S239</f>
        <v>8528.0704127999998</v>
      </c>
      <c r="X84" s="3"/>
      <c r="Y84" s="115"/>
      <c r="Z84" s="115"/>
      <c r="AA84" s="63"/>
    </row>
    <row r="85" spans="2:27" ht="15.75" x14ac:dyDescent="0.3">
      <c r="B85" s="3"/>
      <c r="C85" s="3"/>
      <c r="D85" s="3"/>
      <c r="E85" s="3"/>
      <c r="F85" s="3"/>
      <c r="G85" s="3"/>
      <c r="H85" s="3"/>
      <c r="I85" s="3"/>
      <c r="J85" s="3"/>
      <c r="K85" s="3"/>
      <c r="L85" s="29" t="str">
        <f>D176</f>
        <v>Farben</v>
      </c>
      <c r="M85" s="26">
        <f>'Referenz Pflasterwerk'!S46</f>
        <v>1040</v>
      </c>
      <c r="N85" s="26">
        <f>H176</f>
        <v>1040</v>
      </c>
      <c r="O85" s="26">
        <f>H247</f>
        <v>1040</v>
      </c>
      <c r="P85" s="25" t="s">
        <v>164</v>
      </c>
      <c r="Q85" s="3"/>
      <c r="R85" s="3"/>
      <c r="S85" s="3"/>
      <c r="T85" s="31" t="s">
        <v>158</v>
      </c>
      <c r="U85" s="52">
        <f>'Referenz Pflasterwerk'!AB27</f>
        <v>7162.5</v>
      </c>
      <c r="V85" s="52">
        <f>S169</f>
        <v>8118.0090607663697</v>
      </c>
      <c r="W85" s="52">
        <f>S240</f>
        <v>7112.7396711061092</v>
      </c>
      <c r="X85" s="3"/>
      <c r="Y85" s="115"/>
      <c r="Z85" s="115"/>
      <c r="AA85" s="63"/>
    </row>
    <row r="86" spans="2:27" ht="15.75" x14ac:dyDescent="0.3">
      <c r="B86" s="3"/>
      <c r="C86" s="3"/>
      <c r="D86" s="3"/>
      <c r="E86" s="3"/>
      <c r="F86" s="3"/>
      <c r="G86" s="3"/>
      <c r="H86" s="3"/>
      <c r="I86" s="3"/>
      <c r="J86" s="3"/>
      <c r="K86" s="3"/>
      <c r="L86" s="8" t="str">
        <f>C178</f>
        <v>Zusatzstoffe (Füllstoffe)</v>
      </c>
      <c r="M86" s="9">
        <f>'Referenz Pflasterwerk'!S48</f>
        <v>424.19999999999993</v>
      </c>
      <c r="N86" s="9">
        <f>H178</f>
        <v>424.19999999999993</v>
      </c>
      <c r="O86" s="9">
        <f>H249</f>
        <v>424.19999999999993</v>
      </c>
      <c r="P86" s="3" t="s">
        <v>164</v>
      </c>
      <c r="Q86" s="3"/>
      <c r="R86" s="3"/>
      <c r="S86" s="3"/>
      <c r="T86" s="31" t="s">
        <v>159</v>
      </c>
      <c r="U86" s="52">
        <f>'Referenz Pflasterwerk'!AB28</f>
        <v>263015.57401117252</v>
      </c>
      <c r="V86" s="52">
        <f>S170</f>
        <v>472978.82084681973</v>
      </c>
      <c r="W86" s="52">
        <f>S241</f>
        <v>839778.25412785122</v>
      </c>
      <c r="X86" s="3"/>
      <c r="Y86" s="115"/>
      <c r="Z86" s="115"/>
      <c r="AA86" s="63"/>
    </row>
    <row r="87" spans="2:27" ht="16.5" thickBot="1" x14ac:dyDescent="0.35">
      <c r="B87" s="3"/>
      <c r="C87" s="3"/>
      <c r="D87" s="3"/>
      <c r="E87" s="3"/>
      <c r="F87" s="3"/>
      <c r="G87" s="3"/>
      <c r="H87" s="3"/>
      <c r="I87" s="3"/>
      <c r="J87" s="3"/>
      <c r="K87" s="3"/>
      <c r="L87" s="29" t="str">
        <f>C183</f>
        <v>Zusatzmittel</v>
      </c>
      <c r="M87" s="26">
        <f>'Referenz Pflasterwerk'!S53</f>
        <v>185.55932668689491</v>
      </c>
      <c r="N87" s="26">
        <f>H183</f>
        <v>185.55932668689491</v>
      </c>
      <c r="O87" s="26">
        <f>H254</f>
        <v>185.55932668689491</v>
      </c>
      <c r="P87" s="25" t="s">
        <v>164</v>
      </c>
      <c r="Q87" s="3"/>
      <c r="R87" s="3"/>
      <c r="S87" s="3"/>
      <c r="T87" s="27" t="s">
        <v>70</v>
      </c>
      <c r="U87" s="56">
        <f>U83+U82+U81+U80+U72</f>
        <v>445512.09601517254</v>
      </c>
      <c r="V87" s="56">
        <f t="shared" ref="V87:W87" si="3">V83+V82+V81+V80+V72</f>
        <v>678362.86951478617</v>
      </c>
      <c r="W87" s="56">
        <f t="shared" si="3"/>
        <v>1047888.0642117574</v>
      </c>
      <c r="X87" s="3"/>
      <c r="Y87" s="115"/>
      <c r="Z87" s="115"/>
      <c r="AA87" s="63"/>
    </row>
    <row r="88" spans="2:27" ht="16.5" thickTop="1" x14ac:dyDescent="0.3">
      <c r="B88" s="3"/>
      <c r="C88" s="3"/>
      <c r="D88" s="3"/>
      <c r="E88" s="3"/>
      <c r="F88" s="3"/>
      <c r="G88" s="3"/>
      <c r="H88" s="3"/>
      <c r="I88" s="3"/>
      <c r="J88" s="3"/>
      <c r="K88" s="3"/>
      <c r="L88" s="8" t="s">
        <v>194</v>
      </c>
      <c r="M88" s="9">
        <f>'Referenz Pflasterwerk'!S59+'Referenz Pflasterwerk'!S60</f>
        <v>5.4399999999999997E-2</v>
      </c>
      <c r="N88" s="9">
        <f>H189+H190</f>
        <v>5.4399999999999997E-2</v>
      </c>
      <c r="O88" s="9">
        <f>H260+H261</f>
        <v>5.4399999999999997E-2</v>
      </c>
      <c r="P88" s="3" t="s">
        <v>164</v>
      </c>
      <c r="Q88" s="3"/>
      <c r="R88" s="3"/>
      <c r="S88" s="3"/>
      <c r="T88" s="3"/>
      <c r="U88" s="3"/>
      <c r="V88" s="3"/>
      <c r="W88" s="3"/>
      <c r="X88" s="3"/>
      <c r="Y88" s="63"/>
      <c r="Z88" s="63"/>
      <c r="AA88" s="63"/>
    </row>
    <row r="89" spans="2:27" ht="16.5" thickBot="1" x14ac:dyDescent="0.35">
      <c r="B89" s="3"/>
      <c r="C89" s="3"/>
      <c r="D89" s="3"/>
      <c r="E89" s="3"/>
      <c r="F89" s="3"/>
      <c r="G89" s="3"/>
      <c r="H89" s="3"/>
      <c r="I89" s="3"/>
      <c r="J89" s="3"/>
      <c r="K89" s="3"/>
      <c r="L89" s="29" t="str">
        <f>C192</f>
        <v>Oberflächenschutzsysteme</v>
      </c>
      <c r="M89" s="26">
        <f>'Referenz Pflasterwerk'!S62</f>
        <v>0</v>
      </c>
      <c r="N89" s="26">
        <f>H192</f>
        <v>0</v>
      </c>
      <c r="O89" s="26">
        <f>H263</f>
        <v>0</v>
      </c>
      <c r="P89" s="25" t="s">
        <v>164</v>
      </c>
      <c r="Q89" s="3"/>
      <c r="R89" s="3"/>
      <c r="S89" s="3"/>
      <c r="T89" s="104" t="s">
        <v>211</v>
      </c>
      <c r="U89" s="105">
        <f>U87-U86</f>
        <v>182496.52200400003</v>
      </c>
      <c r="V89" s="105">
        <f>V87-V86</f>
        <v>205384.04866796645</v>
      </c>
      <c r="W89" s="105">
        <f>W87-W86</f>
        <v>208109.81008390617</v>
      </c>
      <c r="X89" s="3"/>
      <c r="Y89" s="3"/>
      <c r="Z89" s="3"/>
      <c r="AA89" s="3"/>
    </row>
    <row r="90" spans="2:27" ht="16.5" thickBot="1" x14ac:dyDescent="0.35">
      <c r="B90" s="3"/>
      <c r="C90" s="3"/>
      <c r="D90" s="3"/>
      <c r="E90" s="3"/>
      <c r="F90" s="3"/>
      <c r="G90" s="3"/>
      <c r="H90" s="3"/>
      <c r="I90" s="3"/>
      <c r="J90" s="3"/>
      <c r="K90" s="3"/>
      <c r="L90" s="8" t="str">
        <f>C197</f>
        <v>Oberflächenbearbeitung (vor/nach Erhärtung)</v>
      </c>
      <c r="M90" s="9">
        <f>'Referenz Pflasterwerk'!S67</f>
        <v>0</v>
      </c>
      <c r="N90" s="9">
        <f>H197</f>
        <v>0</v>
      </c>
      <c r="O90" s="9">
        <f>H268</f>
        <v>0</v>
      </c>
      <c r="P90" s="3" t="s">
        <v>164</v>
      </c>
      <c r="Q90" s="3"/>
      <c r="R90" s="3"/>
      <c r="S90" s="3"/>
      <c r="T90" s="106" t="s">
        <v>161</v>
      </c>
      <c r="U90" s="107">
        <f>U87-U83</f>
        <v>172669</v>
      </c>
      <c r="V90" s="107">
        <f>V87-V83</f>
        <v>192469.00000000006</v>
      </c>
      <c r="W90" s="107">
        <f>W87-W83</f>
        <v>192469</v>
      </c>
      <c r="X90" s="3"/>
      <c r="Y90" s="3"/>
      <c r="Z90" s="3"/>
      <c r="AA90" s="3"/>
    </row>
    <row r="91" spans="2:27" ht="15.75" x14ac:dyDescent="0.3">
      <c r="B91" s="3"/>
      <c r="C91" s="3"/>
      <c r="D91" s="3"/>
      <c r="E91" s="3"/>
      <c r="F91" s="3"/>
      <c r="G91" s="3"/>
      <c r="H91" s="3"/>
      <c r="I91" s="3"/>
      <c r="J91" s="3"/>
      <c r="K91" s="3"/>
      <c r="L91" s="29" t="str">
        <f>D202</f>
        <v>Verpackungsmaterial</v>
      </c>
      <c r="M91" s="26">
        <f>'Referenz Pflasterwerk'!S72</f>
        <v>161.20000000000002</v>
      </c>
      <c r="N91" s="26">
        <f>H202</f>
        <v>161.20000000000002</v>
      </c>
      <c r="O91" s="26">
        <f>H273</f>
        <v>161.20000000000002</v>
      </c>
      <c r="P91" s="25" t="s">
        <v>164</v>
      </c>
      <c r="Q91" s="3"/>
      <c r="R91" s="3"/>
      <c r="S91" s="3"/>
      <c r="T91" s="3"/>
      <c r="U91" s="3"/>
      <c r="V91" s="3"/>
      <c r="W91" s="3"/>
      <c r="X91" s="3"/>
      <c r="Y91" s="3"/>
      <c r="Z91" s="3"/>
      <c r="AA91" s="3"/>
    </row>
    <row r="92" spans="2:27" ht="15" thickBot="1" x14ac:dyDescent="0.3">
      <c r="B92" s="3"/>
      <c r="C92" s="3"/>
      <c r="D92" s="3"/>
      <c r="E92" s="3"/>
      <c r="F92" s="3"/>
      <c r="G92" s="3"/>
      <c r="H92" s="3"/>
      <c r="I92" s="3"/>
      <c r="J92" s="3"/>
      <c r="K92" s="3"/>
      <c r="L92" s="27" t="s">
        <v>70</v>
      </c>
      <c r="M92" s="28">
        <f>SUM(M81:M91)</f>
        <v>10520.622960446897</v>
      </c>
      <c r="N92" s="28">
        <f t="shared" ref="N92" si="4">SUM(N81:N91)</f>
        <v>10510.640463262658</v>
      </c>
      <c r="O92" s="28">
        <f>SUM(O81:O91)</f>
        <v>10497.228176598139</v>
      </c>
      <c r="P92" s="27" t="s">
        <v>165</v>
      </c>
      <c r="Q92" s="3"/>
      <c r="R92" s="3"/>
      <c r="S92" s="3"/>
      <c r="T92" s="3"/>
      <c r="U92" s="3"/>
      <c r="V92" s="3"/>
      <c r="W92" s="3"/>
      <c r="X92" s="3"/>
      <c r="Y92" s="3"/>
      <c r="Z92" s="3"/>
      <c r="AA92" s="3"/>
    </row>
    <row r="93" spans="2:27" ht="13.5" thickTop="1" x14ac:dyDescent="0.2">
      <c r="B93" s="3"/>
      <c r="C93" s="3"/>
      <c r="D93" s="3"/>
      <c r="E93" s="3"/>
      <c r="F93" s="3"/>
      <c r="G93" s="3"/>
      <c r="H93" s="3"/>
      <c r="I93" s="3"/>
      <c r="J93" s="3"/>
      <c r="K93" s="3"/>
      <c r="L93" s="8"/>
      <c r="M93" s="82"/>
      <c r="N93" s="82"/>
      <c r="O93" s="82"/>
      <c r="P93" s="8"/>
      <c r="Q93" s="3"/>
      <c r="R93" s="3"/>
      <c r="S93" s="3"/>
      <c r="T93" s="3"/>
      <c r="U93" s="3"/>
      <c r="V93" s="3"/>
      <c r="W93" s="3"/>
      <c r="X93" s="3"/>
      <c r="Y93" s="3"/>
      <c r="Z93" s="3"/>
      <c r="AA93" s="3"/>
    </row>
    <row r="94" spans="2:27" x14ac:dyDescent="0.2">
      <c r="B94" s="3"/>
      <c r="C94" s="3"/>
      <c r="D94" s="3"/>
      <c r="E94" s="3"/>
      <c r="F94" s="3"/>
      <c r="G94" s="3"/>
      <c r="H94" s="3"/>
      <c r="I94" s="3"/>
      <c r="J94" s="3"/>
      <c r="K94" s="3"/>
      <c r="L94" s="8"/>
      <c r="M94" s="82"/>
      <c r="N94" s="82"/>
      <c r="O94" s="82"/>
      <c r="P94" s="8"/>
      <c r="Q94" s="3"/>
      <c r="R94" s="3"/>
      <c r="S94" s="3"/>
      <c r="T94" s="3"/>
      <c r="U94" s="3"/>
      <c r="V94" s="3"/>
      <c r="W94" s="3"/>
      <c r="X94" s="3"/>
      <c r="Y94" s="3"/>
      <c r="Z94" s="3"/>
      <c r="AA94" s="3"/>
    </row>
    <row r="95" spans="2:27" ht="15" x14ac:dyDescent="0.25">
      <c r="B95" s="3"/>
      <c r="C95" s="3"/>
      <c r="D95" s="3"/>
      <c r="E95" s="3"/>
      <c r="F95" s="3"/>
      <c r="G95" s="3"/>
      <c r="H95" s="3"/>
      <c r="I95" s="3"/>
      <c r="J95" s="3"/>
      <c r="K95" s="3"/>
      <c r="L95" s="23" t="s">
        <v>209</v>
      </c>
      <c r="M95" s="3"/>
      <c r="N95" s="3"/>
      <c r="O95" s="3"/>
      <c r="P95" s="3"/>
      <c r="Q95" s="3"/>
      <c r="R95" s="3"/>
      <c r="S95" s="3"/>
      <c r="T95" s="3"/>
      <c r="U95" s="3"/>
      <c r="V95" s="3"/>
      <c r="W95" s="3"/>
      <c r="X95" s="3"/>
      <c r="Y95" s="3"/>
      <c r="Z95" s="3"/>
      <c r="AA95" s="3"/>
    </row>
    <row r="96" spans="2:27" ht="15" x14ac:dyDescent="0.25">
      <c r="B96" s="3"/>
      <c r="C96" s="3"/>
      <c r="D96" s="3"/>
      <c r="E96" s="3"/>
      <c r="F96" s="3"/>
      <c r="G96" s="3"/>
      <c r="H96" s="3"/>
      <c r="I96" s="3"/>
      <c r="J96" s="3"/>
      <c r="K96" s="3"/>
      <c r="L96" s="34"/>
      <c r="M96" s="46">
        <v>2020</v>
      </c>
      <c r="N96" s="47">
        <v>2025</v>
      </c>
      <c r="O96" s="47">
        <v>2030</v>
      </c>
      <c r="P96" s="34"/>
      <c r="Q96" s="3"/>
      <c r="R96" s="3"/>
      <c r="S96" s="3"/>
      <c r="T96" s="3"/>
      <c r="U96" s="3"/>
      <c r="V96" s="3"/>
      <c r="W96" s="3"/>
      <c r="X96" s="3"/>
      <c r="Y96" s="3"/>
      <c r="Z96" s="3"/>
      <c r="AA96" s="3"/>
    </row>
    <row r="97" spans="2:27" x14ac:dyDescent="0.2">
      <c r="B97" s="3"/>
      <c r="C97" s="3"/>
      <c r="D97" s="3"/>
      <c r="E97" s="3"/>
      <c r="F97" s="3"/>
      <c r="G97" s="3"/>
      <c r="H97" s="3"/>
      <c r="I97" s="3"/>
      <c r="J97" s="3"/>
      <c r="K97" s="3"/>
      <c r="L97" s="24"/>
      <c r="M97" s="48" t="s">
        <v>92</v>
      </c>
      <c r="N97" s="49"/>
      <c r="O97" s="49"/>
      <c r="P97" s="24"/>
      <c r="Q97" s="3"/>
      <c r="R97" s="3"/>
      <c r="S97" s="3"/>
      <c r="T97" s="3"/>
      <c r="U97" s="3"/>
      <c r="V97" s="3"/>
      <c r="W97" s="3"/>
      <c r="X97" s="3"/>
      <c r="Y97" s="3"/>
      <c r="Z97" s="3"/>
      <c r="AA97" s="3"/>
    </row>
    <row r="98" spans="2:27" ht="15.75" x14ac:dyDescent="0.3">
      <c r="B98" s="3"/>
      <c r="C98" s="3"/>
      <c r="D98" s="3"/>
      <c r="E98" s="3"/>
      <c r="F98" s="3"/>
      <c r="G98" s="3"/>
      <c r="H98" s="3"/>
      <c r="I98" s="3"/>
      <c r="J98" s="3"/>
      <c r="K98" s="3"/>
      <c r="L98" s="29" t="s">
        <v>118</v>
      </c>
      <c r="M98" s="97">
        <f>M72/IF(NOT(ISBLANK('Referenz Pflasterwerk'!$I$12)),'Referenz Pflasterwerk'!$I$12,'Referenz Pflasterwerk'!$F$12)</f>
        <v>1.0660088015999999E-3</v>
      </c>
      <c r="N98" s="97">
        <f>N72/IF(NOT(ISBLANK('Referenz Pflasterwerk'!$I$12)),'Referenz Pflasterwerk'!$I$12,'Referenz Pflasterwerk'!$F$12)</f>
        <v>1.0660088015999999E-3</v>
      </c>
      <c r="O98" s="97">
        <f>O72/IF(NOT(ISBLANK('Referenz Pflasterwerk'!$I$12)),'Referenz Pflasterwerk'!$I$12,'Referenz Pflasterwerk'!$F$12)</f>
        <v>1.0660088015999999E-3</v>
      </c>
      <c r="P98" s="25" t="s">
        <v>208</v>
      </c>
      <c r="Q98" s="3"/>
      <c r="R98" s="3"/>
      <c r="S98" s="3"/>
      <c r="T98" s="3"/>
      <c r="U98" s="3"/>
      <c r="V98" s="3"/>
      <c r="W98" s="3"/>
      <c r="X98" s="3"/>
      <c r="Y98" s="3"/>
      <c r="Z98" s="3"/>
      <c r="AA98" s="3"/>
    </row>
    <row r="99" spans="2:27" ht="15.75" x14ac:dyDescent="0.3">
      <c r="B99" s="3"/>
      <c r="C99" s="3"/>
      <c r="D99" s="3"/>
      <c r="E99" s="3"/>
      <c r="F99" s="3"/>
      <c r="G99" s="3"/>
      <c r="H99" s="3"/>
      <c r="I99" s="3"/>
      <c r="J99" s="3"/>
      <c r="K99" s="3"/>
      <c r="L99" s="8" t="s">
        <v>28</v>
      </c>
      <c r="M99" s="98">
        <f>M73/IF(NOT(ISBLANK('Referenz Pflasterwerk'!$I$12)),'Referenz Pflasterwerk'!$I$12,'Referenz Pflasterwerk'!$F$12)</f>
        <v>2.8649999999999999E-3</v>
      </c>
      <c r="N99" s="98">
        <f>N73/IF(NOT(ISBLANK('Referenz Pflasterwerk'!$I$12)),'Referenz Pflasterwerk'!$I$12,'Referenz Pflasterwerk'!$F$12)</f>
        <v>1.8040020135036377E-3</v>
      </c>
      <c r="O99" s="98">
        <f>O73/IF(NOT(ISBLANK('Referenz Pflasterwerk'!$I$12)),'Referenz Pflasterwerk'!$I$12,'Referenz Pflasterwerk'!$F$12)</f>
        <v>8.8909245888826361E-4</v>
      </c>
      <c r="P99" s="3" t="s">
        <v>208</v>
      </c>
      <c r="Q99" s="3"/>
      <c r="R99" s="3"/>
      <c r="S99" s="3"/>
      <c r="T99" s="3"/>
      <c r="U99" s="3"/>
      <c r="V99" s="3"/>
      <c r="W99" s="3"/>
      <c r="X99" s="3"/>
      <c r="Y99" s="3"/>
      <c r="Z99" s="3"/>
      <c r="AA99" s="3"/>
    </row>
    <row r="100" spans="2:27" ht="15.75" x14ac:dyDescent="0.3">
      <c r="B100" s="3"/>
      <c r="C100" s="3"/>
      <c r="D100" s="3"/>
      <c r="E100" s="3"/>
      <c r="F100" s="3"/>
      <c r="G100" s="3"/>
      <c r="H100" s="3"/>
      <c r="I100" s="3"/>
      <c r="J100" s="3"/>
      <c r="K100" s="3"/>
      <c r="L100" s="29" t="s">
        <v>29</v>
      </c>
      <c r="M100" s="97">
        <f>M74/IF(NOT(ISBLANK('Referenz Pflasterwerk'!$I$12)),'Referenz Pflasterwerk'!$I$12,'Referenz Pflasterwerk'!$F$12)</f>
        <v>0.10520622960446901</v>
      </c>
      <c r="N100" s="97">
        <f>N74/IF(NOT(ISBLANK('Referenz Pflasterwerk'!$I$12)),'Referenz Pflasterwerk'!$I$12,'Referenz Pflasterwerk'!$F$12)</f>
        <v>0.1051064046326266</v>
      </c>
      <c r="O100" s="97">
        <f>O74/IF(NOT(ISBLANK('Referenz Pflasterwerk'!$I$12)),'Referenz Pflasterwerk'!$I$12,'Referenz Pflasterwerk'!$F$12)</f>
        <v>0.1049722817659814</v>
      </c>
      <c r="P100" s="25" t="s">
        <v>208</v>
      </c>
      <c r="Q100" s="3"/>
      <c r="R100" s="3"/>
      <c r="S100" s="3"/>
      <c r="T100" s="3"/>
      <c r="U100" s="3"/>
      <c r="V100" s="3"/>
      <c r="W100" s="3"/>
      <c r="X100" s="3"/>
      <c r="Y100" s="3"/>
      <c r="Z100" s="3"/>
      <c r="AA100" s="3"/>
    </row>
    <row r="101" spans="2:27" ht="15" thickBot="1" x14ac:dyDescent="0.3">
      <c r="B101" s="3"/>
      <c r="C101" s="3"/>
      <c r="D101" s="3"/>
      <c r="E101" s="3"/>
      <c r="F101" s="3"/>
      <c r="G101" s="3"/>
      <c r="H101" s="3"/>
      <c r="I101" s="3"/>
      <c r="J101" s="3"/>
      <c r="K101" s="3"/>
      <c r="L101" s="27" t="s">
        <v>70</v>
      </c>
      <c r="M101" s="99">
        <f>M75/IF(NOT(ISBLANK('Referenz Pflasterwerk'!$I$12)),'Referenz Pflasterwerk'!$I$12,'Referenz Pflasterwerk'!$F$12)</f>
        <v>0.10913723840606901</v>
      </c>
      <c r="N101" s="99">
        <f>N75/IF(NOT(ISBLANK('Referenz Pflasterwerk'!$I$12)),'Referenz Pflasterwerk'!$I$12,'Referenz Pflasterwerk'!$F$12)</f>
        <v>0.10797641544773023</v>
      </c>
      <c r="O101" s="99">
        <f>O75/IF(NOT(ISBLANK('Referenz Pflasterwerk'!$I$12)),'Referenz Pflasterwerk'!$I$12,'Referenz Pflasterwerk'!$F$12)</f>
        <v>0.10692738302646967</v>
      </c>
      <c r="P101" s="27" t="s">
        <v>210</v>
      </c>
      <c r="Q101" s="3"/>
      <c r="R101" s="3"/>
      <c r="S101" s="3"/>
      <c r="T101" s="3"/>
      <c r="U101" s="3"/>
      <c r="V101" s="3"/>
      <c r="W101" s="3"/>
      <c r="X101" s="3"/>
      <c r="Y101" s="3"/>
      <c r="Z101" s="3"/>
      <c r="AA101" s="3"/>
    </row>
    <row r="102" spans="2:27" ht="13.5" thickTop="1"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2:27"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2:27"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7" spans="2:27" hidden="1" outlineLevel="1"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2:27" ht="15.75" hidden="1" outlineLevel="1" x14ac:dyDescent="0.25">
      <c r="B108" s="3"/>
      <c r="C108" s="3"/>
      <c r="D108" s="62" t="s">
        <v>146</v>
      </c>
      <c r="E108" s="3"/>
      <c r="F108" s="3"/>
      <c r="G108" s="3"/>
      <c r="H108" s="3"/>
      <c r="I108" s="3"/>
      <c r="J108" s="3"/>
      <c r="K108" s="3"/>
      <c r="L108" s="62" t="s">
        <v>146</v>
      </c>
      <c r="M108" s="3"/>
      <c r="N108" s="3"/>
      <c r="O108" s="3"/>
      <c r="P108" s="3"/>
      <c r="Q108" s="3"/>
      <c r="R108" s="3"/>
      <c r="S108" s="62" t="s">
        <v>146</v>
      </c>
      <c r="T108" s="24"/>
      <c r="U108" s="24"/>
      <c r="V108" s="24"/>
      <c r="W108" s="24"/>
      <c r="X108" s="3"/>
      <c r="Y108" s="3"/>
    </row>
    <row r="109" spans="2:27" ht="15" hidden="1" outlineLevel="1" x14ac:dyDescent="0.25">
      <c r="B109" s="3"/>
      <c r="C109" s="3"/>
      <c r="D109" s="35" t="s">
        <v>116</v>
      </c>
      <c r="E109" s="35">
        <v>2020</v>
      </c>
      <c r="F109" s="35">
        <v>2025</v>
      </c>
      <c r="G109" s="35">
        <v>2030</v>
      </c>
      <c r="H109" s="34"/>
      <c r="I109" s="3"/>
      <c r="J109" s="3"/>
      <c r="K109" s="3"/>
      <c r="L109" s="35" t="s">
        <v>265</v>
      </c>
      <c r="M109" s="35">
        <v>2020</v>
      </c>
      <c r="N109" s="35">
        <v>2025</v>
      </c>
      <c r="O109" s="35">
        <v>2030</v>
      </c>
      <c r="P109" s="34"/>
      <c r="Q109" s="3"/>
      <c r="R109" s="3"/>
      <c r="S109" s="3"/>
      <c r="T109" s="46" t="s">
        <v>200</v>
      </c>
      <c r="U109" s="47">
        <v>2020</v>
      </c>
      <c r="V109" s="47">
        <v>2025</v>
      </c>
      <c r="W109" s="47">
        <v>2030</v>
      </c>
      <c r="X109" s="3"/>
      <c r="Y109" s="3"/>
    </row>
    <row r="110" spans="2:27" hidden="1" outlineLevel="1" x14ac:dyDescent="0.2">
      <c r="B110" s="3"/>
      <c r="C110" s="3"/>
      <c r="D110" s="24"/>
      <c r="E110" s="60" t="s">
        <v>92</v>
      </c>
      <c r="F110" s="59"/>
      <c r="G110" s="59"/>
      <c r="H110" s="24"/>
      <c r="I110" s="3"/>
      <c r="J110" s="3"/>
      <c r="K110" s="3"/>
      <c r="L110" s="24"/>
      <c r="M110" s="60" t="s">
        <v>92</v>
      </c>
      <c r="N110" s="59"/>
      <c r="O110" s="59"/>
      <c r="P110" s="24"/>
      <c r="Q110" s="3"/>
      <c r="R110" s="3"/>
      <c r="S110" s="3"/>
      <c r="T110" s="24"/>
      <c r="U110" s="50" t="s">
        <v>92</v>
      </c>
      <c r="V110" s="50"/>
      <c r="W110" s="59"/>
      <c r="X110" s="3"/>
      <c r="Y110" s="3"/>
    </row>
    <row r="111" spans="2:27" ht="15.75" hidden="1" outlineLevel="1" x14ac:dyDescent="0.3">
      <c r="B111" s="3"/>
      <c r="C111" s="3"/>
      <c r="D111" s="3" t="str">
        <f t="shared" ref="D111:D117" si="5">IF($I111,D72,"")</f>
        <v/>
      </c>
      <c r="E111" s="10" t="e">
        <f t="shared" ref="E111:G117" si="6">IF($I111,E72,NA())</f>
        <v>#N/A</v>
      </c>
      <c r="F111" s="10" t="e">
        <f t="shared" si="6"/>
        <v>#N/A</v>
      </c>
      <c r="G111" s="10" t="e">
        <f t="shared" si="6"/>
        <v>#N/A</v>
      </c>
      <c r="H111" s="3" t="s">
        <v>164</v>
      </c>
      <c r="I111" s="361" t="b">
        <v>0</v>
      </c>
      <c r="J111" s="3"/>
      <c r="K111" s="3"/>
      <c r="L111" s="3" t="str">
        <f t="shared" ref="L111:L121" si="7">IF($Q111,L81,"")</f>
        <v>Energieträger gesamt</v>
      </c>
      <c r="M111" s="9">
        <f>IF($Q111,M81,NA())</f>
        <v>60.712972560000004</v>
      </c>
      <c r="N111" s="9">
        <f>IF($Q111,N81,NA())</f>
        <v>50.730475375760143</v>
      </c>
      <c r="O111" s="9">
        <f t="shared" ref="O111" si="8">IF($Q111,O81,NA())</f>
        <v>37.318188711241561</v>
      </c>
      <c r="P111" s="3" t="s">
        <v>164</v>
      </c>
      <c r="Q111" s="3" t="b">
        <v>1</v>
      </c>
      <c r="R111" s="3"/>
      <c r="S111" s="3"/>
      <c r="T111" s="57" t="s">
        <v>160</v>
      </c>
      <c r="U111" s="58">
        <f>SUM(U112:U118)</f>
        <v>172669</v>
      </c>
      <c r="V111" s="58">
        <f t="shared" ref="V111:W111" si="9">SUM(V112:V118)</f>
        <v>155469</v>
      </c>
      <c r="W111" s="58">
        <f t="shared" si="9"/>
        <v>155469</v>
      </c>
      <c r="X111" s="3"/>
      <c r="Y111" s="3"/>
    </row>
    <row r="112" spans="2:27" ht="15.75" hidden="1" outlineLevel="1" x14ac:dyDescent="0.3">
      <c r="B112" s="3"/>
      <c r="C112" s="3"/>
      <c r="D112" s="3" t="str">
        <f t="shared" si="5"/>
        <v/>
      </c>
      <c r="E112" s="10" t="e">
        <f t="shared" si="6"/>
        <v>#N/A</v>
      </c>
      <c r="F112" s="10" t="e">
        <f t="shared" si="6"/>
        <v>#N/A</v>
      </c>
      <c r="G112" s="10" t="e">
        <f t="shared" si="6"/>
        <v>#N/A</v>
      </c>
      <c r="H112" s="3" t="s">
        <v>164</v>
      </c>
      <c r="I112" s="361" t="b">
        <v>0</v>
      </c>
      <c r="J112" s="3"/>
      <c r="K112" s="3"/>
      <c r="L112" s="3" t="str">
        <f t="shared" si="7"/>
        <v>Transport gesamt</v>
      </c>
      <c r="M112" s="9">
        <f t="shared" ref="M112:O121" si="10">IF($Q112,M82,NA())</f>
        <v>578.62626120000004</v>
      </c>
      <c r="N112" s="9">
        <f t="shared" si="10"/>
        <v>578.62626120000004</v>
      </c>
      <c r="O112" s="9">
        <f t="shared" si="10"/>
        <v>578.62626120000004</v>
      </c>
      <c r="P112" s="3" t="s">
        <v>164</v>
      </c>
      <c r="Q112" s="3" t="b">
        <v>1</v>
      </c>
      <c r="R112" s="3"/>
      <c r="S112" s="3"/>
      <c r="T112" s="31" t="s">
        <v>32</v>
      </c>
      <c r="U112" s="52">
        <f>U73</f>
        <v>2745</v>
      </c>
      <c r="V112" s="52">
        <f t="shared" ref="V112:W112" si="11">V73</f>
        <v>2745</v>
      </c>
      <c r="W112" s="52">
        <f t="shared" si="11"/>
        <v>2745</v>
      </c>
      <c r="X112" s="3"/>
      <c r="Y112" s="3"/>
    </row>
    <row r="113" spans="2:25" ht="15.75" hidden="1" outlineLevel="1" x14ac:dyDescent="0.3">
      <c r="B113" s="3"/>
      <c r="C113" s="3"/>
      <c r="D113" s="3" t="str">
        <f t="shared" si="5"/>
        <v>Strom</v>
      </c>
      <c r="E113" s="10">
        <f t="shared" si="6"/>
        <v>286.5</v>
      </c>
      <c r="F113" s="10">
        <f t="shared" si="6"/>
        <v>180.40020135036377</v>
      </c>
      <c r="G113" s="10">
        <f t="shared" si="6"/>
        <v>88.909245888826362</v>
      </c>
      <c r="H113" s="3" t="s">
        <v>164</v>
      </c>
      <c r="I113" s="361" t="b">
        <v>1</v>
      </c>
      <c r="J113" s="3"/>
      <c r="K113" s="3"/>
      <c r="L113" s="3" t="str">
        <f t="shared" si="7"/>
        <v>Zement</v>
      </c>
      <c r="M113" s="9">
        <f t="shared" si="10"/>
        <v>7683.24</v>
      </c>
      <c r="N113" s="9">
        <f t="shared" si="10"/>
        <v>7683.24</v>
      </c>
      <c r="O113" s="9">
        <f t="shared" si="10"/>
        <v>7683.24</v>
      </c>
      <c r="P113" s="3" t="s">
        <v>164</v>
      </c>
      <c r="Q113" s="3" t="b">
        <v>1</v>
      </c>
      <c r="R113" s="3"/>
      <c r="S113" s="3"/>
      <c r="T113" s="31" t="s">
        <v>33</v>
      </c>
      <c r="U113" s="52">
        <f t="shared" ref="U113:W118" si="12">U74</f>
        <v>460</v>
      </c>
      <c r="V113" s="52">
        <f t="shared" si="12"/>
        <v>460</v>
      </c>
      <c r="W113" s="52">
        <f t="shared" si="12"/>
        <v>460</v>
      </c>
      <c r="X113" s="3"/>
      <c r="Y113" s="3"/>
    </row>
    <row r="114" spans="2:25" ht="15.75" hidden="1" outlineLevel="1" x14ac:dyDescent="0.3">
      <c r="B114" s="3"/>
      <c r="C114" s="3"/>
      <c r="D114" s="3" t="str">
        <f t="shared" si="5"/>
        <v/>
      </c>
      <c r="E114" s="10" t="e">
        <f t="shared" si="6"/>
        <v>#N/A</v>
      </c>
      <c r="F114" s="10" t="e">
        <f t="shared" si="6"/>
        <v>#N/A</v>
      </c>
      <c r="G114" s="10" t="e">
        <f t="shared" si="6"/>
        <v>#N/A</v>
      </c>
      <c r="H114" s="3" t="s">
        <v>164</v>
      </c>
      <c r="I114" s="361" t="b">
        <v>0</v>
      </c>
      <c r="J114" s="3"/>
      <c r="K114" s="3"/>
      <c r="L114" s="3" t="str">
        <f t="shared" si="7"/>
        <v>Gesteinskörnungen (Zuschlagsstoffe)</v>
      </c>
      <c r="M114" s="9">
        <f t="shared" si="10"/>
        <v>387.03000000000003</v>
      </c>
      <c r="N114" s="9">
        <f t="shared" si="10"/>
        <v>387.03000000000003</v>
      </c>
      <c r="O114" s="9">
        <f t="shared" si="10"/>
        <v>387.03000000000003</v>
      </c>
      <c r="P114" s="3" t="s">
        <v>164</v>
      </c>
      <c r="Q114" s="3" t="b">
        <v>1</v>
      </c>
      <c r="R114" s="3"/>
      <c r="S114" s="3"/>
      <c r="T114" s="31" t="s">
        <v>34</v>
      </c>
      <c r="U114" s="52">
        <f t="shared" si="12"/>
        <v>129000</v>
      </c>
      <c r="V114" s="52">
        <f t="shared" si="12"/>
        <v>111800</v>
      </c>
      <c r="W114" s="52">
        <f t="shared" si="12"/>
        <v>111800</v>
      </c>
      <c r="X114" s="3"/>
      <c r="Y114" s="3"/>
    </row>
    <row r="115" spans="2:25" ht="15.75" hidden="1" outlineLevel="1" x14ac:dyDescent="0.3">
      <c r="B115" s="3"/>
      <c r="C115" s="3"/>
      <c r="D115" s="3" t="str">
        <f t="shared" si="5"/>
        <v/>
      </c>
      <c r="E115" s="10" t="e">
        <f t="shared" si="6"/>
        <v>#N/A</v>
      </c>
      <c r="F115" s="10" t="e">
        <f t="shared" si="6"/>
        <v>#N/A</v>
      </c>
      <c r="G115" s="10" t="e">
        <f t="shared" si="6"/>
        <v>#N/A</v>
      </c>
      <c r="H115" s="3" t="s">
        <v>164</v>
      </c>
      <c r="I115" s="361" t="b">
        <v>0</v>
      </c>
      <c r="J115" s="3"/>
      <c r="K115" s="3"/>
      <c r="L115" s="3" t="str">
        <f t="shared" si="7"/>
        <v>Farben</v>
      </c>
      <c r="M115" s="9">
        <f t="shared" si="10"/>
        <v>1040</v>
      </c>
      <c r="N115" s="9">
        <f t="shared" si="10"/>
        <v>1040</v>
      </c>
      <c r="O115" s="9">
        <f t="shared" si="10"/>
        <v>1040</v>
      </c>
      <c r="P115" s="3" t="s">
        <v>164</v>
      </c>
      <c r="Q115" s="3" t="b">
        <v>1</v>
      </c>
      <c r="R115" s="3"/>
      <c r="S115" s="3"/>
      <c r="T115" s="31" t="s">
        <v>125</v>
      </c>
      <c r="U115" s="52">
        <f t="shared" si="12"/>
        <v>0</v>
      </c>
      <c r="V115" s="52">
        <f t="shared" si="12"/>
        <v>0</v>
      </c>
      <c r="W115" s="52">
        <f t="shared" si="12"/>
        <v>0</v>
      </c>
      <c r="X115" s="3"/>
      <c r="Y115" s="3"/>
    </row>
    <row r="116" spans="2:25" ht="15.75" hidden="1" outlineLevel="1" x14ac:dyDescent="0.3">
      <c r="B116" s="3"/>
      <c r="C116" s="3"/>
      <c r="D116" s="3" t="str">
        <f t="shared" si="5"/>
        <v/>
      </c>
      <c r="E116" s="10" t="e">
        <f t="shared" si="6"/>
        <v>#N/A</v>
      </c>
      <c r="F116" s="10" t="e">
        <f t="shared" si="6"/>
        <v>#N/A</v>
      </c>
      <c r="G116" s="10" t="e">
        <f t="shared" si="6"/>
        <v>#N/A</v>
      </c>
      <c r="H116" s="3" t="s">
        <v>164</v>
      </c>
      <c r="I116" s="361" t="b">
        <v>0</v>
      </c>
      <c r="J116" s="3"/>
      <c r="K116" s="3"/>
      <c r="L116" s="3" t="str">
        <f t="shared" si="7"/>
        <v>Zusatzstoffe (Füllstoffe)</v>
      </c>
      <c r="M116" s="9">
        <f t="shared" si="10"/>
        <v>424.19999999999993</v>
      </c>
      <c r="N116" s="9">
        <f t="shared" si="10"/>
        <v>424.19999999999993</v>
      </c>
      <c r="O116" s="9">
        <f t="shared" si="10"/>
        <v>424.19999999999993</v>
      </c>
      <c r="P116" s="3" t="s">
        <v>164</v>
      </c>
      <c r="Q116" s="3" t="b">
        <v>1</v>
      </c>
      <c r="R116" s="3"/>
      <c r="S116" s="3"/>
      <c r="T116" s="31" t="s">
        <v>126</v>
      </c>
      <c r="U116" s="52">
        <f t="shared" si="12"/>
        <v>0</v>
      </c>
      <c r="V116" s="52">
        <f t="shared" si="12"/>
        <v>0</v>
      </c>
      <c r="W116" s="52">
        <f t="shared" si="12"/>
        <v>0</v>
      </c>
      <c r="X116" s="3"/>
      <c r="Y116" s="3"/>
    </row>
    <row r="117" spans="2:25" ht="15.75" hidden="1" outlineLevel="1" x14ac:dyDescent="0.3">
      <c r="B117" s="3"/>
      <c r="C117" s="3"/>
      <c r="D117" s="3" t="str">
        <f t="shared" si="5"/>
        <v/>
      </c>
      <c r="E117" s="10" t="e">
        <f t="shared" si="6"/>
        <v>#N/A</v>
      </c>
      <c r="F117" s="10" t="e">
        <f t="shared" si="6"/>
        <v>#N/A</v>
      </c>
      <c r="G117" s="10" t="e">
        <f t="shared" si="6"/>
        <v>#N/A</v>
      </c>
      <c r="H117" s="3" t="s">
        <v>164</v>
      </c>
      <c r="I117" s="361" t="b">
        <v>0</v>
      </c>
      <c r="J117" s="3"/>
      <c r="K117" s="3"/>
      <c r="L117" s="3" t="str">
        <f t="shared" si="7"/>
        <v>Zusatzmittel</v>
      </c>
      <c r="M117" s="9">
        <f t="shared" si="10"/>
        <v>185.55932668689491</v>
      </c>
      <c r="N117" s="9">
        <f t="shared" si="10"/>
        <v>185.55932668689491</v>
      </c>
      <c r="O117" s="9">
        <f t="shared" si="10"/>
        <v>185.55932668689491</v>
      </c>
      <c r="P117" s="3" t="s">
        <v>164</v>
      </c>
      <c r="Q117" s="3" t="b">
        <v>1</v>
      </c>
      <c r="R117" s="3"/>
      <c r="S117" s="3"/>
      <c r="T117" s="31" t="s">
        <v>127</v>
      </c>
      <c r="U117" s="52">
        <f t="shared" si="12"/>
        <v>0</v>
      </c>
      <c r="V117" s="52">
        <f t="shared" si="12"/>
        <v>0</v>
      </c>
      <c r="W117" s="52">
        <f t="shared" si="12"/>
        <v>0</v>
      </c>
      <c r="X117" s="3"/>
      <c r="Y117" s="3"/>
    </row>
    <row r="118" spans="2:25" ht="16.5" hidden="1" outlineLevel="1" thickBot="1" x14ac:dyDescent="0.35">
      <c r="B118" s="3"/>
      <c r="C118" s="3"/>
      <c r="D118" s="27" t="s">
        <v>70</v>
      </c>
      <c r="E118" s="33">
        <f>SUMIF($I$111:$I$117,"WAHR",E111:E117)</f>
        <v>286.5</v>
      </c>
      <c r="F118" s="33">
        <f>SUMIF($I$111:$I$117,"WAHR",F111:F117)</f>
        <v>180.40020135036377</v>
      </c>
      <c r="G118" s="33">
        <f>SUMIF($I$111:$I$117,"WAHR",G111:G117)</f>
        <v>88.909245888826362</v>
      </c>
      <c r="H118" s="27" t="s">
        <v>165</v>
      </c>
      <c r="I118" s="3"/>
      <c r="J118" s="3"/>
      <c r="K118" s="3"/>
      <c r="L118" s="3" t="str">
        <f t="shared" si="7"/>
        <v/>
      </c>
      <c r="M118" s="9" t="e">
        <f t="shared" si="10"/>
        <v>#N/A</v>
      </c>
      <c r="N118" s="9" t="e">
        <f t="shared" si="10"/>
        <v>#N/A</v>
      </c>
      <c r="O118" s="9" t="e">
        <f t="shared" si="10"/>
        <v>#N/A</v>
      </c>
      <c r="P118" s="3" t="s">
        <v>164</v>
      </c>
      <c r="Q118" s="3" t="b">
        <v>0</v>
      </c>
      <c r="R118" s="3"/>
      <c r="S118" s="3"/>
      <c r="T118" s="51" t="s">
        <v>35</v>
      </c>
      <c r="U118" s="53">
        <f t="shared" si="12"/>
        <v>40464.000000000007</v>
      </c>
      <c r="V118" s="54">
        <f t="shared" si="12"/>
        <v>40464</v>
      </c>
      <c r="W118" s="54">
        <f t="shared" si="12"/>
        <v>40464</v>
      </c>
      <c r="X118" s="3"/>
      <c r="Y118" s="3"/>
    </row>
    <row r="119" spans="2:25" ht="16.5" hidden="1" outlineLevel="1" thickTop="1" x14ac:dyDescent="0.3">
      <c r="B119" s="3"/>
      <c r="C119" s="3"/>
      <c r="D119" s="3"/>
      <c r="E119" s="3"/>
      <c r="F119" s="3"/>
      <c r="G119" s="3"/>
      <c r="H119" s="3"/>
      <c r="I119" s="3"/>
      <c r="J119" s="3"/>
      <c r="K119" s="3"/>
      <c r="L119" s="3" t="str">
        <f t="shared" si="7"/>
        <v/>
      </c>
      <c r="M119" s="9" t="e">
        <f t="shared" si="10"/>
        <v>#N/A</v>
      </c>
      <c r="N119" s="9" t="e">
        <f t="shared" si="10"/>
        <v>#N/A</v>
      </c>
      <c r="O119" s="9" t="e">
        <f t="shared" si="10"/>
        <v>#N/A</v>
      </c>
      <c r="P119" s="3" t="s">
        <v>164</v>
      </c>
      <c r="Q119" s="3" t="b">
        <v>0</v>
      </c>
      <c r="R119" s="3"/>
      <c r="S119" s="3"/>
      <c r="T119" s="8" t="str">
        <f>IF(X119,"CAPEX","")</f>
        <v>CAPEX</v>
      </c>
      <c r="U119" s="55">
        <f>IF($X119,U80,NA())</f>
        <v>0</v>
      </c>
      <c r="V119" s="55">
        <f t="shared" ref="V119:W121" si="13">IF($X119,V80,NA())</f>
        <v>36000</v>
      </c>
      <c r="W119" s="55">
        <f t="shared" si="13"/>
        <v>36000</v>
      </c>
      <c r="X119" s="361" t="b">
        <v>1</v>
      </c>
      <c r="Y119" s="3"/>
    </row>
    <row r="120" spans="2:25" ht="15.75" hidden="1" outlineLevel="1" x14ac:dyDescent="0.3">
      <c r="B120" s="3"/>
      <c r="C120" s="3"/>
      <c r="D120" s="3"/>
      <c r="E120" s="3"/>
      <c r="F120" s="3"/>
      <c r="G120" s="3"/>
      <c r="H120" s="3"/>
      <c r="I120" s="3"/>
      <c r="J120" s="3"/>
      <c r="K120" s="3"/>
      <c r="L120" s="3" t="str">
        <f t="shared" si="7"/>
        <v/>
      </c>
      <c r="M120" s="9" t="e">
        <f t="shared" si="10"/>
        <v>#N/A</v>
      </c>
      <c r="N120" s="9" t="e">
        <f t="shared" si="10"/>
        <v>#N/A</v>
      </c>
      <c r="O120" s="9" t="e">
        <f t="shared" si="10"/>
        <v>#N/A</v>
      </c>
      <c r="P120" s="3" t="s">
        <v>164</v>
      </c>
      <c r="Q120" s="3" t="b">
        <v>0</v>
      </c>
      <c r="R120" s="3"/>
      <c r="S120" s="3"/>
      <c r="T120" s="8" t="str">
        <f>IF(X120,"Zusätzliche jährliche Kosten","")</f>
        <v/>
      </c>
      <c r="U120" s="55" t="e">
        <f>IF($X120,U81,NA())</f>
        <v>#N/A</v>
      </c>
      <c r="V120" s="55" t="e">
        <f t="shared" si="13"/>
        <v>#N/A</v>
      </c>
      <c r="W120" s="55" t="e">
        <f t="shared" si="13"/>
        <v>#N/A</v>
      </c>
      <c r="X120" s="361" t="b">
        <v>0</v>
      </c>
      <c r="Y120" s="3"/>
    </row>
    <row r="121" spans="2:25" ht="15.75" hidden="1" outlineLevel="1" x14ac:dyDescent="0.3">
      <c r="B121" s="3"/>
      <c r="C121" s="3"/>
      <c r="D121" s="3"/>
      <c r="E121" s="3"/>
      <c r="F121" s="3"/>
      <c r="G121" s="3"/>
      <c r="H121" s="3"/>
      <c r="I121" s="3"/>
      <c r="J121" s="3"/>
      <c r="K121" s="3"/>
      <c r="L121" s="3" t="str">
        <f t="shared" si="7"/>
        <v>Verpackungsmaterial</v>
      </c>
      <c r="M121" s="9">
        <f t="shared" si="10"/>
        <v>161.20000000000002</v>
      </c>
      <c r="N121" s="9">
        <f t="shared" si="10"/>
        <v>161.20000000000002</v>
      </c>
      <c r="O121" s="9">
        <f t="shared" si="10"/>
        <v>161.20000000000002</v>
      </c>
      <c r="P121" s="3" t="s">
        <v>164</v>
      </c>
      <c r="Q121" s="3" t="b">
        <v>1</v>
      </c>
      <c r="R121" s="3"/>
      <c r="S121" s="3"/>
      <c r="T121" s="59" t="str">
        <f>IF(X121,"Einmalige Kosten","")</f>
        <v/>
      </c>
      <c r="U121" s="55" t="e">
        <f>IF($X121,U82,NA())</f>
        <v>#N/A</v>
      </c>
      <c r="V121" s="55" t="e">
        <f t="shared" si="13"/>
        <v>#N/A</v>
      </c>
      <c r="W121" s="55" t="e">
        <f t="shared" si="13"/>
        <v>#N/A</v>
      </c>
      <c r="X121" s="361" t="b">
        <v>0</v>
      </c>
      <c r="Y121" s="3"/>
    </row>
    <row r="122" spans="2:25" ht="15" hidden="1" outlineLevel="1" thickBot="1" x14ac:dyDescent="0.3">
      <c r="B122" s="3"/>
      <c r="C122" s="3"/>
      <c r="D122" s="3"/>
      <c r="E122" s="3"/>
      <c r="F122" s="3"/>
      <c r="G122" s="3"/>
      <c r="H122" s="3"/>
      <c r="I122" s="3"/>
      <c r="J122" s="3"/>
      <c r="K122" s="3"/>
      <c r="L122" s="27" t="s">
        <v>70</v>
      </c>
      <c r="M122" s="28">
        <f>SUMIF($Q$111:$Q$121,"WAHR",M111:M121)</f>
        <v>10520.568560446896</v>
      </c>
      <c r="N122" s="28">
        <f t="shared" ref="N122:O122" si="14">SUMIF($Q$111:$Q$121,"WAHR",N111:N121)</f>
        <v>10510.586063262657</v>
      </c>
      <c r="O122" s="28">
        <f t="shared" si="14"/>
        <v>10497.173776598138</v>
      </c>
      <c r="P122" s="27" t="s">
        <v>165</v>
      </c>
      <c r="Q122" s="3"/>
      <c r="R122" s="3"/>
      <c r="S122" s="3"/>
      <c r="T122" s="57" t="str">
        <f>IF(X122,"CO2-Kosten","")</f>
        <v>CO2-Kosten</v>
      </c>
      <c r="U122" s="58">
        <f>IF($X$122,SUMIF($X$123:$X$125,"WAHR",U123:U125),NA())</f>
        <v>272843.09601517254</v>
      </c>
      <c r="V122" s="58">
        <f t="shared" ref="V122:W122" si="15">IF($X$122,SUMIF($X$123:$X$125,"WAHR",V123:V125),NA())</f>
        <v>485893.86951478611</v>
      </c>
      <c r="W122" s="58">
        <f t="shared" si="15"/>
        <v>855419.06421175739</v>
      </c>
      <c r="X122" s="361" t="b">
        <v>1</v>
      </c>
      <c r="Y122" s="3"/>
    </row>
    <row r="123" spans="2:25" ht="16.5" hidden="1" outlineLevel="1" thickTop="1" x14ac:dyDescent="0.3">
      <c r="B123" s="3"/>
      <c r="C123" s="3"/>
      <c r="D123" s="3"/>
      <c r="E123" s="3"/>
      <c r="F123" s="3"/>
      <c r="G123" s="3"/>
      <c r="H123" s="3"/>
      <c r="I123" s="3"/>
      <c r="J123" s="3"/>
      <c r="K123" s="3"/>
      <c r="L123" s="3"/>
      <c r="M123" s="3"/>
      <c r="N123" s="3"/>
      <c r="O123" s="3"/>
      <c r="P123" s="3"/>
      <c r="Q123" s="3"/>
      <c r="R123" s="3"/>
      <c r="S123" s="3"/>
      <c r="T123" s="31" t="s">
        <v>157</v>
      </c>
      <c r="U123" s="52">
        <f>IF($X123,U84,NA())</f>
        <v>2665.0220039999999</v>
      </c>
      <c r="V123" s="52">
        <f t="shared" ref="V123:W123" si="16">IF($X123,V84,NA())</f>
        <v>4797.0396071999994</v>
      </c>
      <c r="W123" s="52">
        <f t="shared" si="16"/>
        <v>8528.0704127999998</v>
      </c>
      <c r="X123" s="361" t="b">
        <v>1</v>
      </c>
      <c r="Y123" s="3"/>
    </row>
    <row r="124" spans="2:25" ht="15.75" hidden="1" outlineLevel="1" x14ac:dyDescent="0.3">
      <c r="B124" s="3"/>
      <c r="C124" s="3"/>
      <c r="D124" s="3"/>
      <c r="E124" s="3"/>
      <c r="F124" s="3"/>
      <c r="G124" s="3"/>
      <c r="H124" s="3"/>
      <c r="I124" s="3"/>
      <c r="J124" s="3"/>
      <c r="K124" s="3"/>
      <c r="L124" s="3"/>
      <c r="M124" s="3"/>
      <c r="N124" s="3"/>
      <c r="O124" s="3"/>
      <c r="P124" s="3"/>
      <c r="Q124" s="3"/>
      <c r="R124" s="3"/>
      <c r="S124" s="3"/>
      <c r="T124" s="31" t="s">
        <v>158</v>
      </c>
      <c r="U124" s="52">
        <f t="shared" ref="U124:W125" si="17">IF($X124,U85,NA())</f>
        <v>7162.5</v>
      </c>
      <c r="V124" s="52">
        <f t="shared" si="17"/>
        <v>8118.0090607663697</v>
      </c>
      <c r="W124" s="52">
        <f t="shared" si="17"/>
        <v>7112.7396711061092</v>
      </c>
      <c r="X124" s="361" t="b">
        <v>1</v>
      </c>
      <c r="Y124" s="3"/>
    </row>
    <row r="125" spans="2:25" ht="15.75" hidden="1" outlineLevel="1" x14ac:dyDescent="0.3">
      <c r="B125" s="3"/>
      <c r="C125" s="3"/>
      <c r="D125" s="3"/>
      <c r="E125" s="3"/>
      <c r="F125" s="3"/>
      <c r="G125" s="3"/>
      <c r="H125" s="3"/>
      <c r="I125" s="3"/>
      <c r="J125" s="3"/>
      <c r="K125" s="3"/>
      <c r="L125" s="3"/>
      <c r="M125" s="3"/>
      <c r="N125" s="3"/>
      <c r="O125" s="3"/>
      <c r="P125" s="3"/>
      <c r="Q125" s="3"/>
      <c r="R125" s="3"/>
      <c r="S125" s="3"/>
      <c r="T125" s="31" t="s">
        <v>159</v>
      </c>
      <c r="U125" s="52">
        <f t="shared" si="17"/>
        <v>263015.57401117252</v>
      </c>
      <c r="V125" s="52">
        <f t="shared" si="17"/>
        <v>472978.82084681973</v>
      </c>
      <c r="W125" s="52">
        <f t="shared" si="17"/>
        <v>839778.25412785122</v>
      </c>
      <c r="X125" s="361" t="b">
        <v>1</v>
      </c>
      <c r="Y125" s="3"/>
    </row>
    <row r="126" spans="2:25" ht="13.5" hidden="1" outlineLevel="1" thickBot="1" x14ac:dyDescent="0.25">
      <c r="B126" s="3"/>
      <c r="C126" s="3"/>
      <c r="D126" s="102" t="str">
        <f>IF(AND($G$16&gt;0,K16&lt;G16),"Bitte den Handeingabewert 'selbsterzeugte Strommenge' für 2030 auch anpassen. Dieser muss dem Werte Ihrer Handeingabe 2025 entsprechen, sollte nur eine Maßnahme in 2025 umgesetzt werden.","")</f>
        <v/>
      </c>
      <c r="E126" s="3"/>
      <c r="F126" s="3"/>
      <c r="G126" s="3"/>
      <c r="H126" s="3"/>
      <c r="I126" s="3"/>
      <c r="J126" s="3"/>
      <c r="K126" s="3"/>
      <c r="L126" s="3"/>
      <c r="M126" s="3"/>
      <c r="N126" s="3"/>
      <c r="O126" s="3"/>
      <c r="P126" s="3"/>
      <c r="Q126" s="3"/>
      <c r="R126" s="3"/>
      <c r="S126" s="3"/>
      <c r="T126" s="27" t="s">
        <v>70</v>
      </c>
      <c r="U126" s="56">
        <f>IF($X$122,U122,0)+IF($X$121,U121,0)+IF($X$120,U120,0)+IF($X$119,U119,0)+U111</f>
        <v>445512.09601517254</v>
      </c>
      <c r="V126" s="56">
        <f t="shared" ref="V126:W126" si="18">IF($X$122,V122,0)+IF($X$121,V121,0)+IF($X$120,V120,0)+IF($X$119,V119,0)+V111</f>
        <v>677362.86951478617</v>
      </c>
      <c r="W126" s="56">
        <f t="shared" si="18"/>
        <v>1046888.0642117574</v>
      </c>
      <c r="X126" s="3"/>
      <c r="Y126" s="3"/>
    </row>
    <row r="127" spans="2:25" ht="13.5" hidden="1" outlineLevel="1" thickTop="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hidden="1" outlineLevel="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5" hidden="1" outlineLevel="1"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2:25" hidden="1" outlineLevel="1"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2:25" hidden="1" outlineLevel="1"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2:25" hidden="1" outlineLevel="1"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2:25" hidden="1" outlineLevel="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hidden="1" outlineLevel="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collapsed="1" x14ac:dyDescent="0.2"/>
    <row r="137" spans="2:25" ht="15.75" hidden="1" outlineLevel="1" x14ac:dyDescent="0.25">
      <c r="B137" s="22"/>
      <c r="C137" s="22" t="s">
        <v>117</v>
      </c>
      <c r="D137" s="17"/>
      <c r="E137" s="17"/>
      <c r="F137" s="17"/>
      <c r="G137" s="17"/>
      <c r="H137" s="17"/>
      <c r="I137" s="17"/>
      <c r="J137" s="17"/>
      <c r="K137" s="17"/>
      <c r="L137" s="17"/>
      <c r="N137" s="22" t="s">
        <v>120</v>
      </c>
      <c r="O137" s="17"/>
      <c r="P137" s="17"/>
      <c r="Q137" s="17"/>
      <c r="R137" s="17"/>
      <c r="S137" s="17"/>
      <c r="T137" s="17"/>
    </row>
    <row r="138" spans="2:25" ht="15" hidden="1" outlineLevel="1" x14ac:dyDescent="0.25">
      <c r="B138" s="64"/>
      <c r="C138" s="64">
        <v>2025</v>
      </c>
      <c r="D138" s="17"/>
      <c r="E138" s="17"/>
      <c r="F138" s="17"/>
      <c r="G138" s="17"/>
      <c r="H138" s="17"/>
      <c r="I138" s="17"/>
      <c r="J138" s="17"/>
      <c r="K138" s="17"/>
      <c r="L138" s="17"/>
      <c r="N138" s="64">
        <v>2025</v>
      </c>
      <c r="O138" s="17"/>
      <c r="P138" s="17"/>
      <c r="Q138" s="17"/>
      <c r="R138" s="17"/>
      <c r="S138" s="17"/>
      <c r="T138" s="17"/>
    </row>
    <row r="139" spans="2:25" ht="15" hidden="1" outlineLevel="1" x14ac:dyDescent="0.25">
      <c r="B139" s="64"/>
      <c r="C139" s="64"/>
      <c r="D139" s="17"/>
      <c r="E139" s="17" t="s">
        <v>40</v>
      </c>
      <c r="F139" s="17" t="s">
        <v>142</v>
      </c>
      <c r="G139" s="17" t="s">
        <v>252</v>
      </c>
      <c r="H139" s="17"/>
      <c r="I139" s="17"/>
      <c r="J139" s="17"/>
      <c r="K139" s="17"/>
      <c r="L139" s="17"/>
      <c r="N139" s="64"/>
      <c r="O139" s="17"/>
      <c r="P139" s="17"/>
      <c r="Q139" s="17"/>
      <c r="R139" s="17"/>
      <c r="S139" s="17"/>
      <c r="T139" s="17"/>
    </row>
    <row r="140" spans="2:25" ht="15" hidden="1" outlineLevel="1" x14ac:dyDescent="0.25">
      <c r="B140" s="64"/>
      <c r="C140" s="64"/>
      <c r="D140" s="17" t="s">
        <v>251</v>
      </c>
      <c r="E140" s="311">
        <f>IF(NOT(ISBLANK($G$16)),$G$16,$E$16)</f>
        <v>100000</v>
      </c>
      <c r="F140" s="25"/>
      <c r="G140" s="25"/>
      <c r="H140" s="17" t="s">
        <v>43</v>
      </c>
      <c r="I140" s="17"/>
      <c r="J140" s="17"/>
      <c r="K140" s="17"/>
      <c r="L140" s="17"/>
      <c r="N140" s="64"/>
      <c r="O140" s="17"/>
      <c r="P140" s="17"/>
      <c r="Q140" s="17"/>
      <c r="R140" s="17"/>
      <c r="S140" s="17"/>
      <c r="T140" s="17"/>
    </row>
    <row r="141" spans="2:25" hidden="1" outlineLevel="1" x14ac:dyDescent="0.2">
      <c r="B141" s="17"/>
      <c r="C141" s="17"/>
      <c r="D141" s="17" t="s">
        <v>249</v>
      </c>
      <c r="E141" s="311">
        <f>IF(NOT(ISBLANK('Referenz Pflasterwerk'!$I$18)),'Referenz Pflasterwerk'!$I$18,'Referenz Pflasterwerk'!$F$18)</f>
        <v>150000</v>
      </c>
      <c r="F141" s="311">
        <f>IF($E$140&lt;E141,$E$140,E141)</f>
        <v>100000</v>
      </c>
      <c r="G141" s="311">
        <f>IF(F141&lt;E141,E141-F141,0)</f>
        <v>50000</v>
      </c>
      <c r="H141" s="17" t="s">
        <v>43</v>
      </c>
      <c r="I141" s="17"/>
      <c r="J141" s="17"/>
      <c r="K141" s="17"/>
      <c r="L141" s="17"/>
      <c r="N141" s="21"/>
      <c r="O141" s="17"/>
      <c r="P141" s="17"/>
      <c r="Q141" s="17"/>
      <c r="R141" s="17"/>
      <c r="S141" s="17"/>
      <c r="T141" s="17"/>
    </row>
    <row r="142" spans="2:25" hidden="1" outlineLevel="1" x14ac:dyDescent="0.2">
      <c r="B142" s="17"/>
      <c r="C142" s="17"/>
      <c r="D142" s="17" t="s">
        <v>250</v>
      </c>
      <c r="E142" s="311">
        <f>IF(NOT(ISBLANK('Referenz Pflasterwerk'!$I$24)),'Referenz Pflasterwerk'!$I$24,'Referenz Pflasterwerk'!$F$24)</f>
        <v>600000</v>
      </c>
      <c r="F142" s="311">
        <f>IF(F141=E140,0,E140-F141)</f>
        <v>0</v>
      </c>
      <c r="G142" s="311">
        <f>IF(F142&lt;E142,E142-F142,0)</f>
        <v>600000</v>
      </c>
      <c r="H142" s="20" t="s">
        <v>43</v>
      </c>
      <c r="I142" s="17"/>
      <c r="J142" s="17"/>
      <c r="K142" s="17"/>
      <c r="L142" s="17"/>
      <c r="N142" s="17"/>
      <c r="O142" s="17"/>
      <c r="P142" s="17"/>
      <c r="Q142" s="17"/>
      <c r="R142" s="17"/>
      <c r="S142" s="17"/>
      <c r="T142" s="17"/>
    </row>
    <row r="143" spans="2:25" hidden="1" outlineLevel="1" x14ac:dyDescent="0.2">
      <c r="B143" s="17"/>
      <c r="C143" s="17"/>
      <c r="D143" s="17"/>
      <c r="E143" s="17"/>
      <c r="F143" s="20"/>
      <c r="G143" s="20"/>
      <c r="H143" s="20"/>
      <c r="I143" s="17"/>
      <c r="J143" s="17"/>
      <c r="K143" s="17"/>
      <c r="L143" s="17"/>
      <c r="N143" s="17"/>
      <c r="O143" s="17"/>
      <c r="P143" s="17"/>
      <c r="Q143" s="17"/>
      <c r="R143" s="17"/>
      <c r="S143" s="17"/>
      <c r="T143" s="17"/>
    </row>
    <row r="144" spans="2:25" ht="25.5" hidden="1" outlineLevel="1" x14ac:dyDescent="0.2">
      <c r="B144" s="17"/>
      <c r="C144" s="17"/>
      <c r="D144" s="17"/>
      <c r="E144" s="17"/>
      <c r="F144" s="36" t="s">
        <v>27</v>
      </c>
      <c r="G144" s="36" t="s">
        <v>85</v>
      </c>
      <c r="H144" s="36" t="s">
        <v>29</v>
      </c>
      <c r="I144" s="17"/>
      <c r="J144" s="40" t="s">
        <v>114</v>
      </c>
      <c r="K144" s="41" t="s">
        <v>40</v>
      </c>
      <c r="L144" s="17"/>
      <c r="N144" s="17"/>
      <c r="O144" s="17"/>
      <c r="P144" s="17"/>
      <c r="Q144" s="18"/>
      <c r="R144" s="18"/>
      <c r="S144" s="18"/>
      <c r="T144" s="18"/>
    </row>
    <row r="145" spans="2:20" ht="14.25" hidden="1" outlineLevel="1" x14ac:dyDescent="0.25">
      <c r="B145" s="76"/>
      <c r="C145" s="76" t="s">
        <v>191</v>
      </c>
      <c r="D145" s="76"/>
      <c r="E145" s="76"/>
      <c r="F145" s="77">
        <f>SUM(F147:F160)</f>
        <v>106.60088015999999</v>
      </c>
      <c r="G145" s="77">
        <f t="shared" ref="G145:H145" si="19">SUM(G147:G160)</f>
        <v>180.40020135036377</v>
      </c>
      <c r="H145" s="77">
        <f t="shared" si="19"/>
        <v>50.730475375760143</v>
      </c>
      <c r="I145" s="76"/>
      <c r="J145" s="77">
        <f>F145+G145</f>
        <v>287.00108151036375</v>
      </c>
      <c r="K145" s="77">
        <f>SUM(F145:H145)</f>
        <v>337.73155688612388</v>
      </c>
      <c r="L145" s="76" t="s">
        <v>198</v>
      </c>
      <c r="N145" s="17"/>
      <c r="O145" s="17"/>
      <c r="P145" s="17"/>
      <c r="Q145" s="18"/>
      <c r="R145" s="18"/>
      <c r="S145" s="18"/>
      <c r="T145" s="18"/>
    </row>
    <row r="146" spans="2:20" hidden="1" outlineLevel="1" x14ac:dyDescent="0.2">
      <c r="B146" s="17"/>
      <c r="C146" s="17" t="s">
        <v>148</v>
      </c>
      <c r="D146" s="17"/>
      <c r="E146" s="17"/>
      <c r="F146" s="17"/>
      <c r="G146" s="17"/>
      <c r="H146" s="17"/>
      <c r="I146" s="17"/>
      <c r="J146" s="17"/>
      <c r="K146" s="17"/>
      <c r="L146" s="17"/>
      <c r="N146" s="17" t="s">
        <v>148</v>
      </c>
      <c r="O146" s="17"/>
      <c r="P146" s="17"/>
      <c r="Q146" s="18"/>
      <c r="R146" s="18"/>
      <c r="S146" s="18"/>
      <c r="T146" s="18"/>
    </row>
    <row r="147" spans="2:20" ht="15.75" hidden="1" outlineLevel="1" x14ac:dyDescent="0.3">
      <c r="B147" s="302"/>
      <c r="C147" s="17"/>
      <c r="D147" s="17" t="s">
        <v>128</v>
      </c>
      <c r="E147" s="17"/>
      <c r="F147" s="38">
        <f>IF(NOT(ISBLANK('Referenz Pflasterwerk'!$I16)),'Referenz Pflasterwerk'!$I16,'Referenz Pflasterwerk'!$F16)*IF(NOT(ISBLANK('Eingabe EF'!$AA9)),'Eingabe EF'!$AA9,'Eingabe EF'!$Y9)</f>
        <v>1.6484399999999999</v>
      </c>
      <c r="G147" s="38">
        <f>IF(NOT(ISBLANK('Referenz Pflasterwerk'!$I16)),'Referenz Pflasterwerk'!$I16,'Referenz Pflasterwerk'!$F16)*IF(NOT(ISBLANK('Eingabe EF'!$AE9)),'Eingabe EF'!$AE9,'Eingabe EF'!$AC9)</f>
        <v>0</v>
      </c>
      <c r="H147" s="38">
        <f>IF(NOT(ISBLANK('Referenz Pflasterwerk'!$I16)),'Referenz Pflasterwerk'!$I16,'Referenz Pflasterwerk'!$F16)*IF(NOT(ISBLANK('Eingabe EF'!$AI9)),'Eingabe EF'!$AI9,'Eingabe EF'!$AG9)</f>
        <v>0.28215000000000001</v>
      </c>
      <c r="I147" s="17"/>
      <c r="J147" s="38">
        <f>F147+G147</f>
        <v>1.6484399999999999</v>
      </c>
      <c r="K147" s="38">
        <f>SUM(F147:H147)</f>
        <v>1.93059</v>
      </c>
      <c r="L147" s="17" t="s">
        <v>199</v>
      </c>
      <c r="N147" s="302"/>
      <c r="O147" s="17" t="s">
        <v>128</v>
      </c>
      <c r="P147" s="17"/>
      <c r="Q147" s="19"/>
      <c r="R147" s="20"/>
      <c r="S147" s="42">
        <f>IF(NOT(ISBLANK('Referenz Pflasterwerk'!$I16)),'Referenz Pflasterwerk'!$I16,'Referenz Pflasterwerk'!$F16)/1000*IF(NOT(ISBLANK('Eingabe Preise'!$K10)),'Eingabe Preise'!$K10,'Eingabe Preise'!$I10)</f>
        <v>549</v>
      </c>
      <c r="T147" s="20" t="s">
        <v>109</v>
      </c>
    </row>
    <row r="148" spans="2:20" ht="15.75" hidden="1" outlineLevel="1" x14ac:dyDescent="0.3">
      <c r="B148" s="302"/>
      <c r="C148" s="17"/>
      <c r="D148" s="17" t="s">
        <v>166</v>
      </c>
      <c r="E148" s="17"/>
      <c r="F148" s="38">
        <f>IF(NOT(ISBLANK('Referenz Pflasterwerk'!$I17)),'Referenz Pflasterwerk'!$I17,'Referenz Pflasterwerk'!$F17)*IF(NOT(ISBLANK('Eingabe EF'!$AA10)),'Eingabe EF'!$AA10,'Eingabe EF'!$Y10)</f>
        <v>0.53351999999999999</v>
      </c>
      <c r="G148" s="38">
        <f>IF(NOT(ISBLANK('Referenz Pflasterwerk'!$I17)),'Referenz Pflasterwerk'!$I17,'Referenz Pflasterwerk'!$F17)*IF(NOT(ISBLANK('Eingabe EF'!$AE10)),'Eingabe EF'!$AE10,'Eingabe EF'!$AC10)</f>
        <v>0</v>
      </c>
      <c r="H148" s="38">
        <f>IF(NOT(ISBLANK('Referenz Pflasterwerk'!$I17)),'Referenz Pflasterwerk'!$I17,'Referenz Pflasterwerk'!$F17)*IF(NOT(ISBLANK('Eingabe EF'!$AI10)),'Eingabe EF'!$AI10,'Eingabe EF'!$AG10)</f>
        <v>7.9152E-2</v>
      </c>
      <c r="I148" s="17"/>
      <c r="J148" s="38">
        <f>F148+G148</f>
        <v>0.53351999999999999</v>
      </c>
      <c r="K148" s="38">
        <f>SUM(F148:H148)</f>
        <v>0.61267199999999999</v>
      </c>
      <c r="L148" s="17" t="s">
        <v>199</v>
      </c>
      <c r="N148" s="302"/>
      <c r="O148" s="17" t="s">
        <v>166</v>
      </c>
      <c r="P148" s="17"/>
      <c r="Q148" s="20"/>
      <c r="R148" s="20"/>
      <c r="S148" s="42">
        <f>IF(NOT(ISBLANK('Referenz Pflasterwerk'!$I17)),'Referenz Pflasterwerk'!$I17,'Referenz Pflasterwerk'!$F17)/1000*IF(NOT(ISBLANK('Eingabe Preise'!$K11)),'Eingabe Preise'!$K11,'Eingabe Preise'!$I11)</f>
        <v>92</v>
      </c>
      <c r="T148" s="20" t="s">
        <v>109</v>
      </c>
    </row>
    <row r="149" spans="2:20" ht="15.75" hidden="1" outlineLevel="1" x14ac:dyDescent="0.3">
      <c r="B149" s="312"/>
      <c r="C149" s="17"/>
      <c r="D149" s="17" t="s">
        <v>167</v>
      </c>
      <c r="E149" s="17"/>
      <c r="F149" s="38">
        <f>G141*IF(NOT(ISBLANK('Eingabe EF'!$AA$11)),'Eingabe EF'!$AA$11,'Eingabe EF'!$Y$11)+F141*IF(NOT(ISBLANK('Eingabe EF'!$AA$61)),'Eingabe EF'!$AA$61,'Eingabe EF'!$Y$61)</f>
        <v>0</v>
      </c>
      <c r="G149" s="38">
        <f>G141*IF(NOT(ISBLANK('Eingabe EF'!$AE$11)),'Eingabe EF'!$AE$11,'Eingabe EF'!$AC$11)+F141*IF(NOT(ISBLANK('Eingabe EF'!$AE$61)),'Eingabe EF'!$AE$61,'Eingabe EF'!$AC$61)</f>
        <v>13.876938565412599</v>
      </c>
      <c r="H149" s="38">
        <f>G141*IF(NOT(ISBLANK('Eingabe EF'!$AI$11)),'Eingabe EF'!$AI$11,'Eingabe EF'!$AG$11)+F141*IF(NOT(ISBLANK('Eingabe EF'!$AI$61)),'Eingabe EF'!$AI$61,'Eingabe EF'!$AG$61)</f>
        <v>7.6057156012123182</v>
      </c>
      <c r="I149" s="17"/>
      <c r="J149" s="38">
        <f>F149+G149</f>
        <v>13.876938565412599</v>
      </c>
      <c r="K149" s="38">
        <f>SUM(F149:H149)</f>
        <v>21.482654166624918</v>
      </c>
      <c r="L149" s="17" t="s">
        <v>199</v>
      </c>
      <c r="N149" s="312"/>
      <c r="O149" s="17" t="s">
        <v>167</v>
      </c>
      <c r="P149" s="17"/>
      <c r="Q149" s="20"/>
      <c r="R149" s="20"/>
      <c r="S149" s="42">
        <f>G141/1000*IF(NOT(ISBLANK('Eingabe Preise'!$K12)),'Eingabe Preise'!$K12,'Eingabe Preise'!$I12)</f>
        <v>8600</v>
      </c>
      <c r="T149" s="20" t="s">
        <v>109</v>
      </c>
    </row>
    <row r="150" spans="2:20" ht="15.75" hidden="1" outlineLevel="1" x14ac:dyDescent="0.3">
      <c r="B150" s="302"/>
      <c r="C150" s="17"/>
      <c r="D150" s="17" t="s">
        <v>129</v>
      </c>
      <c r="E150" s="17"/>
      <c r="F150" s="44">
        <f>IF(NOT(ISBLANK('Referenz Pflasterwerk'!$I19)),'Referenz Pflasterwerk'!$I19,'Referenz Pflasterwerk'!$F19)*IF(NOT(ISBLANK('Eingabe EF'!$AA12)),'Eingabe EF'!$AA12,0)</f>
        <v>0</v>
      </c>
      <c r="G150" s="44">
        <f>IF(NOT(ISBLANK('Referenz Pflasterwerk'!$I19)),'Referenz Pflasterwerk'!$I19,'Referenz Pflasterwerk'!$F19)*IF(NOT(ISBLANK('Eingabe EF'!$AE12)),'Eingabe EF'!$AE12,0)</f>
        <v>0</v>
      </c>
      <c r="H150" s="44">
        <f>IF(NOT(ISBLANK('Referenz Pflasterwerk'!$I19)),'Referenz Pflasterwerk'!$I19,'Referenz Pflasterwerk'!$F19)*IF(NOT(ISBLANK('Eingabe EF'!$AI12)),'Eingabe EF'!$AI12,0)</f>
        <v>0</v>
      </c>
      <c r="I150" s="17"/>
      <c r="J150" s="38">
        <f>F150+G150</f>
        <v>0</v>
      </c>
      <c r="K150" s="38">
        <f>SUM(F150:H150)</f>
        <v>0</v>
      </c>
      <c r="L150" s="17" t="s">
        <v>199</v>
      </c>
      <c r="N150" s="302"/>
      <c r="O150" s="17" t="s">
        <v>129</v>
      </c>
      <c r="P150" s="17"/>
      <c r="Q150" s="20"/>
      <c r="R150" s="20"/>
      <c r="S150" s="42">
        <f>IF(NOT(ISBLANK('Referenz Pflasterwerk'!$I19)),'Referenz Pflasterwerk'!$I19,'Referenz Pflasterwerk'!$F19)/1000*IF(NOT(ISBLANK('Eingabe Preise'!$K16)),'Eingabe Preise'!$K16,0)</f>
        <v>0</v>
      </c>
      <c r="T150" s="20" t="s">
        <v>109</v>
      </c>
    </row>
    <row r="151" spans="2:20" hidden="1" outlineLevel="1" x14ac:dyDescent="0.2">
      <c r="B151" s="17"/>
      <c r="C151" s="17" t="s">
        <v>149</v>
      </c>
      <c r="D151" s="17"/>
      <c r="E151" s="17"/>
      <c r="F151" s="20"/>
      <c r="G151" s="20"/>
      <c r="H151" s="20"/>
      <c r="I151" s="17"/>
      <c r="J151" s="17"/>
      <c r="K151" s="17"/>
      <c r="L151" s="17"/>
      <c r="N151" s="17" t="s">
        <v>149</v>
      </c>
      <c r="O151" s="17"/>
      <c r="P151" s="17"/>
      <c r="Q151" s="20"/>
      <c r="R151" s="20"/>
      <c r="S151" s="20"/>
      <c r="T151" s="20"/>
    </row>
    <row r="152" spans="2:20" ht="15.75" hidden="1" outlineLevel="1" x14ac:dyDescent="0.3">
      <c r="B152" s="17"/>
      <c r="C152" s="17"/>
      <c r="D152" s="17" t="s">
        <v>32</v>
      </c>
      <c r="E152" s="17"/>
      <c r="F152" s="38">
        <f>IF(NOT(ISBLANK('Referenz Pflasterwerk'!$I21)),'Referenz Pflasterwerk'!$I21,'Referenz Pflasterwerk'!$F21)*IF(NOT(ISBLANK('Eingabe EF'!$AA9)),'Eingabe EF'!$AA9,'Eingabe EF'!$Y9)</f>
        <v>6.5937599999999996</v>
      </c>
      <c r="G152" s="38">
        <f>IF(NOT(ISBLANK('Referenz Pflasterwerk'!$I21)),'Referenz Pflasterwerk'!$I21,'Referenz Pflasterwerk'!$F21)*IF(NOT(ISBLANK('Eingabe EF'!$AE9)),'Eingabe EF'!$AE9,'Eingabe EF'!$AC9)</f>
        <v>0</v>
      </c>
      <c r="H152" s="38">
        <f>IF(NOT(ISBLANK('Referenz Pflasterwerk'!$I21)),'Referenz Pflasterwerk'!$I21,'Referenz Pflasterwerk'!$F21)*IF(NOT(ISBLANK('Eingabe EF'!$AG9)),'Eingabe EF'!$AG9,'Eingabe EF'!$AIC9)</f>
        <v>1.1286</v>
      </c>
      <c r="I152" s="17"/>
      <c r="J152" s="38">
        <f t="shared" ref="J152:J153" si="20">F152+G152</f>
        <v>6.5937599999999996</v>
      </c>
      <c r="K152" s="38">
        <f t="shared" ref="K152:K163" si="21">SUM(F152:H152)</f>
        <v>7.7223600000000001</v>
      </c>
      <c r="L152" s="17" t="s">
        <v>199</v>
      </c>
      <c r="M152" s="43"/>
      <c r="N152" s="17"/>
      <c r="O152" s="17" t="s">
        <v>32</v>
      </c>
      <c r="P152" s="17"/>
      <c r="Q152" s="20"/>
      <c r="R152" s="20"/>
      <c r="S152" s="42">
        <f>IF(NOT(ISBLANK('Referenz Pflasterwerk'!$I21)),'Referenz Pflasterwerk'!$I21,'Referenz Pflasterwerk'!$F21)/1000*IF(NOT(ISBLANK('Eingabe Preise'!$K10)),'Eingabe Preise'!$K10,'Eingabe Preise'!$I10)</f>
        <v>2196</v>
      </c>
      <c r="T152" s="20" t="s">
        <v>109</v>
      </c>
    </row>
    <row r="153" spans="2:20" ht="15.75" hidden="1" outlineLevel="1" x14ac:dyDescent="0.3">
      <c r="B153" s="17"/>
      <c r="C153" s="17"/>
      <c r="D153" s="17" t="s">
        <v>33</v>
      </c>
      <c r="E153" s="17"/>
      <c r="F153" s="38">
        <f>IF(NOT(ISBLANK('Referenz Pflasterwerk'!$I22)),'Referenz Pflasterwerk'!$I22,'Referenz Pflasterwerk'!$F22)*IF(NOT(ISBLANK('Eingabe EF'!$AA10)),'Eingabe EF'!$AA10,'Eingabe EF'!$Y10)</f>
        <v>2.13408</v>
      </c>
      <c r="G153" s="38">
        <f>IF(NOT(ISBLANK('Referenz Pflasterwerk'!$I22)),'Referenz Pflasterwerk'!$I22,'Referenz Pflasterwerk'!$F22)*IF(NOT(ISBLANK('Eingabe EF'!$AE10)),'Eingabe EF'!$AE10,'Eingabe EF'!$AC10)</f>
        <v>0</v>
      </c>
      <c r="H153" s="38">
        <f>IF(NOT(ISBLANK('Referenz Pflasterwerk'!$I22)),'Referenz Pflasterwerk'!$I22,'Referenz Pflasterwerk'!$F22)*IF(NOT(ISBLANK('Eingabe EF'!$AG10)),'Eingabe EF'!$AG10,'Eingabe EF'!$AIC10)</f>
        <v>0.316608</v>
      </c>
      <c r="I153" s="17"/>
      <c r="J153" s="38">
        <f t="shared" si="20"/>
        <v>2.13408</v>
      </c>
      <c r="K153" s="38">
        <f t="shared" si="21"/>
        <v>2.450688</v>
      </c>
      <c r="L153" s="17" t="s">
        <v>199</v>
      </c>
      <c r="M153" s="43"/>
      <c r="N153" s="17"/>
      <c r="O153" s="17" t="s">
        <v>33</v>
      </c>
      <c r="P153" s="17"/>
      <c r="Q153" s="20"/>
      <c r="R153" s="20"/>
      <c r="S153" s="42">
        <f>IF(NOT(ISBLANK('Referenz Pflasterwerk'!$I22)),'Referenz Pflasterwerk'!$I22,'Referenz Pflasterwerk'!$F22)/1000*IF(NOT(ISBLANK('Eingabe Preise'!$K11)),'Eingabe Preise'!$K11,'Eingabe Preise'!$I11)</f>
        <v>368</v>
      </c>
      <c r="T153" s="20" t="s">
        <v>109</v>
      </c>
    </row>
    <row r="154" spans="2:20" hidden="1" outlineLevel="1" x14ac:dyDescent="0.2">
      <c r="B154" s="17"/>
      <c r="C154" s="17" t="s">
        <v>150</v>
      </c>
      <c r="D154" s="17"/>
      <c r="E154" s="17"/>
      <c r="F154" s="20"/>
      <c r="G154" s="20"/>
      <c r="H154" s="20"/>
      <c r="I154" s="17"/>
      <c r="J154" s="17"/>
      <c r="K154" s="17"/>
      <c r="L154" s="17"/>
      <c r="N154" s="17" t="s">
        <v>150</v>
      </c>
      <c r="O154" s="17"/>
      <c r="P154" s="17"/>
      <c r="Q154" s="20"/>
      <c r="R154" s="20"/>
      <c r="S154" s="20"/>
      <c r="T154" s="20"/>
    </row>
    <row r="155" spans="2:20" ht="15.75" hidden="1" outlineLevel="1" x14ac:dyDescent="0.3">
      <c r="B155" s="312"/>
      <c r="C155" s="17"/>
      <c r="D155" s="17" t="s">
        <v>152</v>
      </c>
      <c r="E155" s="17"/>
      <c r="F155" s="38">
        <f>G142*IF(NOT(ISBLANK('Eingabe EF'!$AA$11)),'Eingabe EF'!$AA$11,'Eingabe EF'!$Y$11)+F142*IF(NOT(ISBLANK('Eingabe EF'!$AA$61)),'Eingabe EF'!$AA$61,'Eingabe EF'!$Y$61)</f>
        <v>0</v>
      </c>
      <c r="G155" s="38">
        <f>G142*IF(NOT(ISBLANK('Eingabe EF'!$AE$11)),'Eingabe EF'!$AE$11,'Eingabe EF'!$AC$11)+F142*IF(NOT(ISBLANK('Eingabe EF'!$AE$61)),'Eingabe EF'!$AE$61,'Eingabe EF'!$AC$61)</f>
        <v>166.52326278495119</v>
      </c>
      <c r="H155" s="38">
        <f>G142*IF(NOT(ISBLANK('Eingabe EF'!$AI$11)),'Eingabe EF'!$AI$11,'Eingabe EF'!$AG$11)+F142*IF(NOT(ISBLANK('Eingabe EF'!$AI$61)),'Eingabe EF'!$AI$61,'Eingabe EF'!$AG$61)</f>
        <v>24.411787214547822</v>
      </c>
      <c r="I155" s="17"/>
      <c r="J155" s="38">
        <f t="shared" ref="J155:J163" si="22">F155+G155</f>
        <v>166.52326278495119</v>
      </c>
      <c r="K155" s="38">
        <f t="shared" si="21"/>
        <v>190.935049999499</v>
      </c>
      <c r="L155" s="17" t="s">
        <v>199</v>
      </c>
      <c r="M155" s="43"/>
      <c r="N155" s="312"/>
      <c r="O155" s="17" t="s">
        <v>168</v>
      </c>
      <c r="P155" s="17"/>
      <c r="Q155" s="20"/>
      <c r="R155" s="20"/>
      <c r="S155" s="42">
        <f>G142/1000*IF(NOT(ISBLANK('Eingabe Preise'!$K12)),'Eingabe Preise'!$K12,'Eingabe Preise'!$I12)</f>
        <v>103200</v>
      </c>
      <c r="T155" s="20" t="s">
        <v>109</v>
      </c>
    </row>
    <row r="156" spans="2:20" ht="15.75" hidden="1" outlineLevel="1" x14ac:dyDescent="0.3">
      <c r="B156" s="17"/>
      <c r="C156" s="17"/>
      <c r="D156" s="17" t="s">
        <v>125</v>
      </c>
      <c r="E156" s="17"/>
      <c r="F156" s="38">
        <f>IF(NOT(ISBLANK('Referenz Pflasterwerk'!$I25)),'Referenz Pflasterwerk'!$I25,'Referenz Pflasterwerk'!$F25)*IF(NOT(ISBLANK('Eingabe EF'!$AA13)),'Eingabe EF'!$AA13,'Eingabe EF'!$Y13)</f>
        <v>0</v>
      </c>
      <c r="G156" s="38">
        <f>IF(NOT(ISBLANK('Referenz Pflasterwerk'!$I25)),'Referenz Pflasterwerk'!$I25,'Referenz Pflasterwerk'!$F25)*IF(NOT(ISBLANK('Eingabe EF'!$AE13)),'Eingabe EF'!$AE13,'Eingabe EF'!$AC13)</f>
        <v>0</v>
      </c>
      <c r="H156" s="38">
        <f>IF(NOT(ISBLANK('Referenz Pflasterwerk'!$I25)),'Referenz Pflasterwerk'!$I25,'Referenz Pflasterwerk'!$F25)*IF(NOT(ISBLANK('Eingabe EF'!$AI13)),'Eingabe EF'!$AI13,'Eingabe EF'!$AG13)</f>
        <v>0</v>
      </c>
      <c r="I156" s="17"/>
      <c r="J156" s="38">
        <f t="shared" si="22"/>
        <v>0</v>
      </c>
      <c r="K156" s="38">
        <f t="shared" si="21"/>
        <v>0</v>
      </c>
      <c r="L156" s="17" t="s">
        <v>199</v>
      </c>
      <c r="M156" s="43"/>
      <c r="N156" s="17"/>
      <c r="O156" s="17" t="s">
        <v>125</v>
      </c>
      <c r="P156" s="17"/>
      <c r="Q156" s="20"/>
      <c r="R156" s="20"/>
      <c r="S156" s="42">
        <f>IF(NOT(ISBLANK('Referenz Pflasterwerk'!$I25)),'Referenz Pflasterwerk'!$I25,'Referenz Pflasterwerk'!$F25)/1000*IF(NOT(ISBLANK('Eingabe Preise'!$K13)),'Eingabe Preise'!$K13,'Eingabe Preise'!$I13)</f>
        <v>0</v>
      </c>
      <c r="T156" s="20" t="s">
        <v>109</v>
      </c>
    </row>
    <row r="157" spans="2:20" ht="15.75" hidden="1" outlineLevel="1" x14ac:dyDescent="0.3">
      <c r="B157" s="17"/>
      <c r="C157" s="17"/>
      <c r="D157" s="17" t="s">
        <v>151</v>
      </c>
      <c r="E157" s="17"/>
      <c r="F157" s="38">
        <f>IF(NOT(ISBLANK('Referenz Pflasterwerk'!$I26)),'Referenz Pflasterwerk'!$I26,'Referenz Pflasterwerk'!$F26)*IF(NOT(ISBLANK('Eingabe EF'!$AA14)),'Eingabe EF'!$AA14,0)</f>
        <v>0</v>
      </c>
      <c r="G157" s="38">
        <f>IF(NOT(ISBLANK('Referenz Pflasterwerk'!$I26)),'Referenz Pflasterwerk'!$I26,'Referenz Pflasterwerk'!$F26)*IF(NOT(ISBLANK('Eingabe EF'!$AE14)),'Eingabe EF'!$AE14,0)</f>
        <v>0</v>
      </c>
      <c r="H157" s="38">
        <f>IF(NOT(ISBLANK('Referenz Pflasterwerk'!$I26)),'Referenz Pflasterwerk'!$I26,'Referenz Pflasterwerk'!$F26)*IF(NOT(ISBLANK('Eingabe EF'!$AI14)),'Eingabe EF'!$AI14,0)</f>
        <v>0</v>
      </c>
      <c r="I157" s="17"/>
      <c r="J157" s="38">
        <f t="shared" si="22"/>
        <v>0</v>
      </c>
      <c r="K157" s="38">
        <f t="shared" si="21"/>
        <v>0</v>
      </c>
      <c r="L157" s="17" t="s">
        <v>199</v>
      </c>
      <c r="M157" s="43"/>
      <c r="N157" s="17"/>
      <c r="O157" s="17" t="s">
        <v>151</v>
      </c>
      <c r="P157" s="17"/>
      <c r="Q157" s="30"/>
      <c r="R157" s="17"/>
      <c r="S157" s="42">
        <f>IF(NOT(ISBLANK('Referenz Pflasterwerk'!$I26)),'Referenz Pflasterwerk'!$I26,'Referenz Pflasterwerk'!$F26)/1000*IF(NOT(ISBLANK('Eingabe Preise'!$K17)),'Eingabe Preise'!$K17,0)</f>
        <v>0</v>
      </c>
      <c r="T157" s="20" t="s">
        <v>109</v>
      </c>
    </row>
    <row r="158" spans="2:20" hidden="1" outlineLevel="1" x14ac:dyDescent="0.2">
      <c r="B158" s="17"/>
      <c r="C158" s="17"/>
      <c r="D158" s="17"/>
      <c r="E158" s="17"/>
      <c r="F158" s="20"/>
      <c r="G158" s="20"/>
      <c r="H158" s="20"/>
      <c r="I158" s="17"/>
      <c r="J158" s="17"/>
      <c r="K158" s="17"/>
      <c r="L158" s="17"/>
      <c r="N158" s="17"/>
      <c r="O158" s="17"/>
      <c r="P158" s="17"/>
      <c r="Q158" s="30"/>
      <c r="R158" s="17"/>
      <c r="S158" s="17"/>
      <c r="T158" s="17"/>
    </row>
    <row r="159" spans="2:20" ht="15.75" hidden="1" outlineLevel="1" x14ac:dyDescent="0.3">
      <c r="B159" s="17"/>
      <c r="C159" s="17" t="s">
        <v>78</v>
      </c>
      <c r="D159" s="17" t="s">
        <v>35</v>
      </c>
      <c r="E159" s="17"/>
      <c r="F159" s="38">
        <f>IF(NOT(ISBLANK('Referenz Pflasterwerk'!$I28)),'Referenz Pflasterwerk'!$I28,'Referenz Pflasterwerk'!$F28)*IF(NOT(ISBLANK('Eingabe EF'!$AA15)),'Eingabe EF'!$AA15,'Eingabe EF'!$Y15)</f>
        <v>85.058737919999984</v>
      </c>
      <c r="G159" s="38">
        <f>IF(NOT(ISBLANK('Referenz Pflasterwerk'!$I28)),'Referenz Pflasterwerk'!$I28,'Referenz Pflasterwerk'!$F28)*IF(NOT(ISBLANK('Eingabe EF'!$AE15)),'Eingabe EF'!$AE15,'Eingabe EF'!$AC15)</f>
        <v>0</v>
      </c>
      <c r="H159" s="38">
        <f>IF(NOT(ISBLANK('Referenz Pflasterwerk'!$I28)),'Referenz Pflasterwerk'!$I28,'Referenz Pflasterwerk'!$F28)*IF(NOT(ISBLANK('Eingabe EF'!$AI15)),'Eingabe EF'!$AI15,'Eingabe EF'!$AG15)</f>
        <v>15.027966720000002</v>
      </c>
      <c r="I159" s="17"/>
      <c r="J159" s="38">
        <f t="shared" si="22"/>
        <v>85.058737919999984</v>
      </c>
      <c r="K159" s="38">
        <f t="shared" si="21"/>
        <v>100.08670463999999</v>
      </c>
      <c r="L159" s="17" t="s">
        <v>199</v>
      </c>
      <c r="M159" s="43"/>
      <c r="N159" s="17"/>
      <c r="O159" s="17" t="s">
        <v>35</v>
      </c>
      <c r="P159" s="17" t="s">
        <v>78</v>
      </c>
      <c r="Q159" s="30"/>
      <c r="R159" s="17"/>
      <c r="S159" s="42">
        <f>IF(NOT(ISBLANK('Referenz Pflasterwerk'!$I28)),'Referenz Pflasterwerk'!$I28,'Referenz Pflasterwerk'!$F28)*IF(NOT(ISBLANK('Eingabe Preise'!$K14)),'Eingabe Preise'!$K14,'Eingabe Preise'!$I14)</f>
        <v>35968</v>
      </c>
      <c r="T159" s="20" t="s">
        <v>109</v>
      </c>
    </row>
    <row r="160" spans="2:20" ht="15.75" hidden="1" outlineLevel="1" x14ac:dyDescent="0.3">
      <c r="B160" s="17"/>
      <c r="C160" s="17" t="s">
        <v>77</v>
      </c>
      <c r="D160" s="17" t="s">
        <v>35</v>
      </c>
      <c r="E160" s="17"/>
      <c r="F160" s="38">
        <f>IF(NOT(ISBLANK('Referenz Pflasterwerk'!$I29)),'Referenz Pflasterwerk'!$I29,'Referenz Pflasterwerk'!$F29)*IF(NOT(ISBLANK('Eingabe EF'!$AA15)),'Eingabe EF'!$AA15,'Eingabe EF'!$Y15)</f>
        <v>10.632342239999998</v>
      </c>
      <c r="G160" s="38">
        <f>IF(NOT(ISBLANK('Referenz Pflasterwerk'!$I29)),'Referenz Pflasterwerk'!$I29,'Referenz Pflasterwerk'!$F29)*IF(NOT(ISBLANK('Eingabe EF'!$AE15)),'Eingabe EF'!$AE15,'Eingabe EF'!$AC15)</f>
        <v>0</v>
      </c>
      <c r="H160" s="38">
        <f>IF(NOT(ISBLANK('Referenz Pflasterwerk'!$I29)),'Referenz Pflasterwerk'!$I29,'Referenz Pflasterwerk'!$F29)*IF(NOT(ISBLANK('Eingabe EF'!$AI15)),'Eingabe EF'!$AI15,'Eingabe EF'!$AG15)</f>
        <v>1.8784958400000002</v>
      </c>
      <c r="I160" s="17"/>
      <c r="J160" s="38">
        <f t="shared" si="22"/>
        <v>10.632342239999998</v>
      </c>
      <c r="K160" s="38">
        <f t="shared" si="21"/>
        <v>12.510838079999999</v>
      </c>
      <c r="L160" s="17" t="s">
        <v>199</v>
      </c>
      <c r="M160" s="43"/>
      <c r="N160" s="17"/>
      <c r="O160" s="17" t="s">
        <v>35</v>
      </c>
      <c r="P160" s="17" t="s">
        <v>77</v>
      </c>
      <c r="Q160" s="30"/>
      <c r="R160" s="17"/>
      <c r="S160" s="42">
        <f>IF(NOT(ISBLANK('Referenz Pflasterwerk'!$I29)),'Referenz Pflasterwerk'!$I29,'Referenz Pflasterwerk'!$F29)*IF(NOT(ISBLANK('Eingabe Preise'!$K14)),'Eingabe Preise'!$K14,'Eingabe Preise'!$I14)</f>
        <v>4496</v>
      </c>
      <c r="T160" s="20" t="s">
        <v>109</v>
      </c>
    </row>
    <row r="161" spans="2:21" s="72" customFormat="1" ht="14.25" hidden="1" outlineLevel="1" x14ac:dyDescent="0.25">
      <c r="B161" s="69"/>
      <c r="C161" s="69" t="s">
        <v>190</v>
      </c>
      <c r="D161" s="69"/>
      <c r="E161" s="69"/>
      <c r="F161" s="71">
        <f>F162+F163</f>
        <v>0</v>
      </c>
      <c r="G161" s="71">
        <f t="shared" ref="G161:H161" si="23">G162+G163</f>
        <v>0</v>
      </c>
      <c r="H161" s="71">
        <f t="shared" si="23"/>
        <v>578.62626120000004</v>
      </c>
      <c r="I161" s="69"/>
      <c r="J161" s="71">
        <f t="shared" si="22"/>
        <v>0</v>
      </c>
      <c r="K161" s="71">
        <f t="shared" si="21"/>
        <v>578.62626120000004</v>
      </c>
      <c r="L161" s="76" t="s">
        <v>198</v>
      </c>
      <c r="N161" s="21"/>
      <c r="O161" s="21"/>
      <c r="P161" s="21"/>
      <c r="Q161" s="73"/>
      <c r="R161" s="21"/>
      <c r="S161" s="21"/>
      <c r="T161" s="21"/>
      <c r="U161" s="6"/>
    </row>
    <row r="162" spans="2:21" ht="15.75" hidden="1" outlineLevel="1" x14ac:dyDescent="0.3">
      <c r="B162" s="17"/>
      <c r="C162" s="17"/>
      <c r="D162" s="17" t="s">
        <v>46</v>
      </c>
      <c r="E162" s="17"/>
      <c r="F162" s="38">
        <f>IF(NOT(ISBLANK('Referenz Pflasterwerk'!$I32)),'Referenz Pflasterwerk'!$I32,'Referenz Pflasterwerk'!$F32)*IF(NOT(ISBLANK('Eingabe EF'!$AA17)),'Eingabe EF'!$AA17,'Eingabe EF'!$Y17)</f>
        <v>0</v>
      </c>
      <c r="G162" s="38">
        <f>IF(NOT(ISBLANK('Referenz Pflasterwerk'!$I32)),'Referenz Pflasterwerk'!$I32,'Referenz Pflasterwerk'!$F32)*IF(NOT(ISBLANK('Eingabe EF'!$AE17)),'Eingabe EF'!$AE17,'Eingabe EF'!$AC17)</f>
        <v>0</v>
      </c>
      <c r="H162" s="38">
        <f>IF(NOT(ISBLANK('Referenz Pflasterwerk'!$I32)),'Referenz Pflasterwerk'!$I32,'Referenz Pflasterwerk'!$F32)*IF(NOT(ISBLANK('Eingabe EF'!$AI17)),'Eingabe EF'!$AI17,'Eingabe EF'!$AG17)</f>
        <v>250.21676159999998</v>
      </c>
      <c r="I162" s="17"/>
      <c r="J162" s="38">
        <f t="shared" si="22"/>
        <v>0</v>
      </c>
      <c r="K162" s="38">
        <f t="shared" si="21"/>
        <v>250.21676159999998</v>
      </c>
      <c r="L162" s="17" t="s">
        <v>199</v>
      </c>
      <c r="M162" s="43"/>
      <c r="N162" s="17"/>
      <c r="O162" s="17"/>
      <c r="P162" s="17"/>
      <c r="Q162" s="30"/>
      <c r="R162" s="17"/>
      <c r="S162" s="17"/>
      <c r="T162" s="17"/>
    </row>
    <row r="163" spans="2:21" ht="15.75" hidden="1" outlineLevel="1" x14ac:dyDescent="0.3">
      <c r="B163" s="17"/>
      <c r="C163" s="17"/>
      <c r="D163" s="17" t="s">
        <v>47</v>
      </c>
      <c r="E163" s="17"/>
      <c r="F163" s="38">
        <f>IF(NOT(ISBLANK('Referenz Pflasterwerk'!$I33)),'Referenz Pflasterwerk'!$I33,'Referenz Pflasterwerk'!$F33)*IF(NOT(ISBLANK('Eingabe EF'!$AA18)),'Eingabe EF'!$AA18,'Eingabe EF'!$Y18)</f>
        <v>0</v>
      </c>
      <c r="G163" s="38">
        <f>IF(NOT(ISBLANK('Referenz Pflasterwerk'!$I33)),'Referenz Pflasterwerk'!$I33,'Referenz Pflasterwerk'!$F33)*IF(NOT(ISBLANK('Eingabe EF'!$AE18)),'Eingabe EF'!$AE18,'Eingabe EF'!$AC18)</f>
        <v>0</v>
      </c>
      <c r="H163" s="38">
        <f>IF(NOT(ISBLANK('Referenz Pflasterwerk'!$I33)),'Referenz Pflasterwerk'!$I33,'Referenz Pflasterwerk'!$F33)*IF(NOT(ISBLANK('Eingabe EF'!$AI18)),'Eingabe EF'!$AI18,'Eingabe EF'!$AG18)</f>
        <v>328.4094996</v>
      </c>
      <c r="I163" s="17"/>
      <c r="J163" s="38">
        <f t="shared" si="22"/>
        <v>0</v>
      </c>
      <c r="K163" s="38">
        <f t="shared" si="21"/>
        <v>328.4094996</v>
      </c>
      <c r="L163" s="17" t="s">
        <v>199</v>
      </c>
      <c r="M163" s="43"/>
      <c r="N163" s="17"/>
      <c r="O163" s="17" t="s">
        <v>31</v>
      </c>
      <c r="P163" s="17"/>
      <c r="Q163" s="30"/>
      <c r="R163" s="17"/>
      <c r="S163" s="42">
        <f>IF(NOT(ISBLANK($G$18)),$G$18,$E$18)/IF(NOT(ISBLANK($G$23)),$G$23,$E$23)+IF(NOT(ISBLANK($G$18)),$G$18,$E$18)*(IF(NOT(ISBLANK($G$24)),$G$24,$E$24)/100)</f>
        <v>36000</v>
      </c>
      <c r="T163" s="20" t="s">
        <v>109</v>
      </c>
    </row>
    <row r="164" spans="2:21" hidden="1" outlineLevel="1" x14ac:dyDescent="0.2">
      <c r="B164" s="17"/>
      <c r="C164" s="17"/>
      <c r="D164" s="17"/>
      <c r="E164" s="17"/>
      <c r="F164" s="20"/>
      <c r="G164" s="20"/>
      <c r="H164" s="20"/>
      <c r="I164" s="17"/>
      <c r="J164" s="20"/>
      <c r="K164" s="20"/>
      <c r="L164" s="17"/>
      <c r="N164" s="17"/>
      <c r="O164" s="45" t="s">
        <v>155</v>
      </c>
      <c r="P164" s="17"/>
      <c r="Q164" s="30"/>
      <c r="R164" s="17"/>
      <c r="S164" s="42">
        <f>IF(NOT(ISBLANK($G$19)),$G$19,$E$19)</f>
        <v>1000</v>
      </c>
      <c r="T164" s="20" t="s">
        <v>109</v>
      </c>
    </row>
    <row r="165" spans="2:21" ht="14.25" hidden="1" outlineLevel="1" x14ac:dyDescent="0.25">
      <c r="B165" s="69"/>
      <c r="C165" s="69" t="s">
        <v>69</v>
      </c>
      <c r="D165" s="70"/>
      <c r="E165" s="70"/>
      <c r="F165" s="71">
        <f>SUM(F166:F169)</f>
        <v>0</v>
      </c>
      <c r="G165" s="71">
        <f>SUM(G166:G169)</f>
        <v>0</v>
      </c>
      <c r="H165" s="71">
        <f>SUM(H166:H169)</f>
        <v>7683.24</v>
      </c>
      <c r="I165" s="70"/>
      <c r="J165" s="71">
        <f t="shared" ref="J165:J169" si="24">F165+G165</f>
        <v>0</v>
      </c>
      <c r="K165" s="71">
        <f t="shared" ref="K165:K168" si="25">SUM(F165:H165)</f>
        <v>7683.24</v>
      </c>
      <c r="L165" s="76" t="s">
        <v>198</v>
      </c>
      <c r="N165" s="17"/>
      <c r="O165" s="45" t="s">
        <v>162</v>
      </c>
      <c r="P165" s="17"/>
      <c r="Q165" s="30"/>
      <c r="R165" s="17"/>
      <c r="S165" s="42">
        <f>IF(NOT(ISBLANK($G$20)),$G$20,$E$20)/IF(NOT(ISBLANK($G$23)),$G$23,$E$23)+IF(NOT(ISBLANK($G$20)),$G$20,$E$20)*(IF(NOT(ISBLANK($G$24)),$G$24,$E$24)/100)</f>
        <v>0</v>
      </c>
      <c r="T165" s="20" t="s">
        <v>109</v>
      </c>
    </row>
    <row r="166" spans="2:21" ht="15.75" hidden="1" outlineLevel="1" x14ac:dyDescent="0.3">
      <c r="B166" s="17"/>
      <c r="C166" s="17"/>
      <c r="D166" s="17" t="s">
        <v>48</v>
      </c>
      <c r="E166" s="17"/>
      <c r="F166" s="38">
        <f>IF(NOT(ISBLANK('Referenz Pflasterwerk'!$I36)),'Referenz Pflasterwerk'!$I36,'Referenz Pflasterwerk'!$F36)*IF(NOT(ISBLANK('Eingabe EF'!$AA21)),'Eingabe EF'!$AA21,'Eingabe EF'!$Y21)*IF(NOT(ISBLANK('Referenz Pflasterwerk'!$I$12)),'Referenz Pflasterwerk'!$I$12,'Referenz Pflasterwerk'!$F$12)</f>
        <v>0</v>
      </c>
      <c r="G166" s="38">
        <f>IF(NOT(ISBLANK('Referenz Pflasterwerk'!$I36)),'Referenz Pflasterwerk'!$I36,'Referenz Pflasterwerk'!$F36)*IF(NOT(ISBLANK('Eingabe EF'!$AE21)),'Eingabe EF'!$AE21,'Eingabe EF'!$AC21)*IF(NOT(ISBLANK('Referenz Pflasterwerk'!$I$12)),'Referenz Pflasterwerk'!$I$12,'Referenz Pflasterwerk'!$F$12)</f>
        <v>0</v>
      </c>
      <c r="H166" s="38">
        <f>IF(NOT(ISBLANK('Referenz Pflasterwerk'!$I36)),'Referenz Pflasterwerk'!$I36,'Referenz Pflasterwerk'!$F36)*IF(NOT(ISBLANK('Eingabe EF'!$AI21)),'Eingabe EF'!$AI21,'Eingabe EF'!$AG21)*IF(NOT(ISBLANK('Referenz Pflasterwerk'!$I$12)),'Referenz Pflasterwerk'!$I$12,'Referenz Pflasterwerk'!$F$12)</f>
        <v>2144.625</v>
      </c>
      <c r="I166" s="17"/>
      <c r="J166" s="38">
        <f t="shared" si="24"/>
        <v>0</v>
      </c>
      <c r="K166" s="38">
        <f t="shared" si="25"/>
        <v>2144.625</v>
      </c>
      <c r="L166" s="17" t="s">
        <v>199</v>
      </c>
      <c r="M166" s="43"/>
      <c r="N166" s="17"/>
      <c r="O166" s="17"/>
      <c r="P166" s="17"/>
      <c r="Q166" s="17"/>
      <c r="R166" s="17"/>
      <c r="S166" s="17"/>
      <c r="T166" s="17"/>
    </row>
    <row r="167" spans="2:21" ht="15.75" hidden="1" outlineLevel="1" x14ac:dyDescent="0.3">
      <c r="B167" s="17"/>
      <c r="C167" s="17"/>
      <c r="D167" s="17" t="s">
        <v>50</v>
      </c>
      <c r="E167" s="17"/>
      <c r="F167" s="38">
        <f>IF(NOT(ISBLANK('Referenz Pflasterwerk'!$I37)),'Referenz Pflasterwerk'!$I37,'Referenz Pflasterwerk'!$F37)*IF(NOT(ISBLANK('Eingabe EF'!$AA22)),'Eingabe EF'!$AA22,'Eingabe EF'!$Y22)*IF(NOT(ISBLANK('Referenz Pflasterwerk'!$I$12)),'Referenz Pflasterwerk'!$I$12,'Referenz Pflasterwerk'!$F$12)</f>
        <v>0</v>
      </c>
      <c r="G167" s="38">
        <f>IF(NOT(ISBLANK('Referenz Pflasterwerk'!$I37)),'Referenz Pflasterwerk'!$I37,'Referenz Pflasterwerk'!$F37)*IF(NOT(ISBLANK('Eingabe EF'!$AE22)),'Eingabe EF'!$AE22,'Eingabe EF'!$AC22)*IF(NOT(ISBLANK('Referenz Pflasterwerk'!$I$12)),'Referenz Pflasterwerk'!$I$12,'Referenz Pflasterwerk'!$F$12)</f>
        <v>0</v>
      </c>
      <c r="H167" s="38">
        <f>IF(NOT(ISBLANK('Referenz Pflasterwerk'!$I37)),'Referenz Pflasterwerk'!$I37,'Referenz Pflasterwerk'!$F37)*IF(NOT(ISBLANK('Eingabe EF'!$AI22)),'Eingabe EF'!$AI22,'Eingabe EF'!$AG22)*IF(NOT(ISBLANK('Referenz Pflasterwerk'!$I$12)),'Referenz Pflasterwerk'!$I$12,'Referenz Pflasterwerk'!$F$12)</f>
        <v>4993.59</v>
      </c>
      <c r="I167" s="17"/>
      <c r="J167" s="38">
        <f t="shared" si="24"/>
        <v>0</v>
      </c>
      <c r="K167" s="38">
        <f t="shared" si="25"/>
        <v>4993.59</v>
      </c>
      <c r="L167" s="17" t="s">
        <v>199</v>
      </c>
      <c r="M167" s="43"/>
      <c r="N167" s="17"/>
      <c r="O167" s="17"/>
      <c r="P167" s="17"/>
      <c r="Q167" s="17"/>
      <c r="R167" s="17"/>
      <c r="S167" s="17"/>
      <c r="T167" s="17"/>
    </row>
    <row r="168" spans="2:21" ht="15.75" hidden="1" outlineLevel="1" x14ac:dyDescent="0.3">
      <c r="B168" s="17"/>
      <c r="C168" s="17"/>
      <c r="D168" s="17" t="s">
        <v>51</v>
      </c>
      <c r="E168" s="17"/>
      <c r="F168" s="38">
        <f>IF(NOT(ISBLANK('Referenz Pflasterwerk'!$I38)),'Referenz Pflasterwerk'!$I38,'Referenz Pflasterwerk'!$F38)*IF(NOT(ISBLANK('Eingabe EF'!$AA23)),'Eingabe EF'!$AA23,'Eingabe EF'!$Y23)*IF(NOT(ISBLANK('Referenz Pflasterwerk'!$I$12)),'Referenz Pflasterwerk'!$I$12,'Referenz Pflasterwerk'!$F$12)</f>
        <v>0</v>
      </c>
      <c r="G168" s="38">
        <f>IF(NOT(ISBLANK('Referenz Pflasterwerk'!$I38)),'Referenz Pflasterwerk'!$I38,'Referenz Pflasterwerk'!$F38)*IF(NOT(ISBLANK('Eingabe EF'!$AE23)),'Eingabe EF'!$AE23,'Eingabe EF'!$AC23)*IF(NOT(ISBLANK('Referenz Pflasterwerk'!$I$12)),'Referenz Pflasterwerk'!$I$12,'Referenz Pflasterwerk'!$F$12)</f>
        <v>0</v>
      </c>
      <c r="H168" s="38">
        <f>IF(NOT(ISBLANK('Referenz Pflasterwerk'!$I38)),'Referenz Pflasterwerk'!$I38,'Referenz Pflasterwerk'!$F38)*IF(NOT(ISBLANK('Eingabe EF'!$AI23)),'Eingabe EF'!$AI23,'Eingabe EF'!$AG23)*IF(NOT(ISBLANK('Referenz Pflasterwerk'!$I$12)),'Referenz Pflasterwerk'!$I$12,'Referenz Pflasterwerk'!$F$12)</f>
        <v>545.02499999999998</v>
      </c>
      <c r="I168" s="17"/>
      <c r="J168" s="38">
        <f t="shared" si="24"/>
        <v>0</v>
      </c>
      <c r="K168" s="38">
        <f t="shared" si="25"/>
        <v>545.02499999999998</v>
      </c>
      <c r="L168" s="17" t="s">
        <v>199</v>
      </c>
      <c r="M168" s="43"/>
      <c r="N168" s="17"/>
      <c r="O168" s="17" t="s">
        <v>201</v>
      </c>
      <c r="P168" s="17"/>
      <c r="Q168" s="30"/>
      <c r="R168" s="17"/>
      <c r="S168" s="42">
        <f>F204*IF(NOT(ISBLANK('Eingabe Preise'!$K21)),'Eingabe Preise'!$K21,'Eingabe Preise'!$I21)</f>
        <v>4797.0396071999994</v>
      </c>
      <c r="T168" s="20" t="s">
        <v>109</v>
      </c>
    </row>
    <row r="169" spans="2:21" ht="15.75" hidden="1" outlineLevel="1" x14ac:dyDescent="0.3">
      <c r="B169" s="17"/>
      <c r="C169" s="17"/>
      <c r="D169" s="17" t="s">
        <v>163</v>
      </c>
      <c r="E169" s="17"/>
      <c r="F169" s="38">
        <f>IF(NOT(ISBLANK('Referenz Pflasterwerk'!$I39)),'Referenz Pflasterwerk'!$I39,'Referenz Pflasterwerk'!$F39)*IF(NOT(ISBLANK('Eingabe EF'!$AA24)),'Eingabe EF'!$AA24,0)*IF(NOT(ISBLANK('Referenz Pflasterwerk'!$I$12)),'Referenz Pflasterwerk'!$I$12,'Referenz Pflasterwerk'!$F$12)</f>
        <v>0</v>
      </c>
      <c r="G169" s="38">
        <f>IF(NOT(ISBLANK('Referenz Pflasterwerk'!$I39)),'Referenz Pflasterwerk'!$I39,'Referenz Pflasterwerk'!$F39)*IF(NOT(ISBLANK('Eingabe EF'!$AE24)),'Eingabe EF'!$AE24,0)*IF(NOT(ISBLANK('Referenz Pflasterwerk'!$I$12)),'Referenz Pflasterwerk'!$I$12,'Referenz Pflasterwerk'!$F$12)</f>
        <v>0</v>
      </c>
      <c r="H169" s="38">
        <f>IF(NOT(ISBLANK('Referenz Pflasterwerk'!$I39)),'Referenz Pflasterwerk'!$I39,'Referenz Pflasterwerk'!$F39)*IF(NOT(ISBLANK('Eingabe EF'!$AI24)),'Eingabe EF'!$AI24,0)*IF(NOT(ISBLANK('Referenz Pflasterwerk'!$I$12)),'Referenz Pflasterwerk'!$I$12,'Referenz Pflasterwerk'!$F$12)</f>
        <v>0</v>
      </c>
      <c r="I169" s="17"/>
      <c r="J169" s="38">
        <f t="shared" si="24"/>
        <v>0</v>
      </c>
      <c r="K169" s="38">
        <f t="shared" ref="K169" si="26">SUM(F169:H169)</f>
        <v>0</v>
      </c>
      <c r="L169" s="17" t="s">
        <v>199</v>
      </c>
      <c r="M169" s="43"/>
      <c r="N169" s="17"/>
      <c r="O169" s="17" t="s">
        <v>202</v>
      </c>
      <c r="P169" s="17"/>
      <c r="Q169" s="30"/>
      <c r="R169" s="17"/>
      <c r="S169" s="42">
        <f>G204*IF(NOT(ISBLANK('Eingabe Preise'!$K22)),'Eingabe Preise'!$K22,'Eingabe Preise'!$I22)</f>
        <v>8118.0090607663697</v>
      </c>
      <c r="T169" s="20" t="s">
        <v>109</v>
      </c>
    </row>
    <row r="170" spans="2:21" ht="15.75" hidden="1" outlineLevel="1" x14ac:dyDescent="0.3">
      <c r="B170" s="17"/>
      <c r="C170" s="17"/>
      <c r="D170" s="17"/>
      <c r="E170" s="17"/>
      <c r="F170" s="20"/>
      <c r="G170" s="20"/>
      <c r="H170" s="20"/>
      <c r="I170" s="17"/>
      <c r="J170" s="17"/>
      <c r="K170" s="20"/>
      <c r="L170" s="20"/>
      <c r="M170" s="43"/>
      <c r="N170" s="17"/>
      <c r="O170" s="17" t="s">
        <v>203</v>
      </c>
      <c r="P170" s="17"/>
      <c r="Q170" s="30"/>
      <c r="R170" s="17"/>
      <c r="S170" s="42">
        <f>H204*IF(NOT(ISBLANK('Eingabe Preise'!$K23)),'Eingabe Preise'!$K23,'Eingabe Preise'!$I23)</f>
        <v>472978.82084681973</v>
      </c>
      <c r="T170" s="20" t="s">
        <v>109</v>
      </c>
    </row>
    <row r="171" spans="2:21" ht="14.25" hidden="1" outlineLevel="1" x14ac:dyDescent="0.25">
      <c r="B171" s="69"/>
      <c r="C171" s="69" t="s">
        <v>178</v>
      </c>
      <c r="D171" s="70"/>
      <c r="E171" s="70"/>
      <c r="F171" s="71">
        <f>SUM(F172:F174)</f>
        <v>0</v>
      </c>
      <c r="G171" s="71">
        <f>SUM(G172:G174)</f>
        <v>0</v>
      </c>
      <c r="H171" s="71">
        <f>SUM(H172:H174)</f>
        <v>387.03000000000003</v>
      </c>
      <c r="I171" s="70"/>
      <c r="J171" s="71">
        <f t="shared" ref="J171" si="27">F171+G171</f>
        <v>0</v>
      </c>
      <c r="K171" s="71">
        <f t="shared" ref="K171" si="28">SUM(F171:H171)</f>
        <v>387.03000000000003</v>
      </c>
      <c r="L171" s="76" t="s">
        <v>198</v>
      </c>
      <c r="M171" s="43"/>
      <c r="N171" s="17"/>
      <c r="O171" s="17"/>
      <c r="P171" s="17"/>
      <c r="Q171" s="30"/>
      <c r="R171" s="17"/>
      <c r="S171" s="66"/>
      <c r="T171" s="17"/>
    </row>
    <row r="172" spans="2:21" ht="15.75" hidden="1" outlineLevel="1" x14ac:dyDescent="0.3">
      <c r="B172" s="17"/>
      <c r="C172" s="17"/>
      <c r="D172" s="17" t="s">
        <v>179</v>
      </c>
      <c r="E172" s="17"/>
      <c r="F172" s="38">
        <f>IF(NOT(ISBLANK('Referenz Pflasterwerk'!$I42)),'Referenz Pflasterwerk'!$I42,'Referenz Pflasterwerk'!$F42)*IF(NOT(ISBLANK('Eingabe EF'!$AA27)),'Eingabe EF'!$AA27,'Eingabe EF'!$Y27)*IF(NOT(ISBLANK('Referenz Pflasterwerk'!$I$12)),'Referenz Pflasterwerk'!$I$12,'Referenz Pflasterwerk'!$F$12)</f>
        <v>0</v>
      </c>
      <c r="G172" s="38">
        <f>IF(NOT(ISBLANK('Referenz Pflasterwerk'!$I42)),'Referenz Pflasterwerk'!$I42,'Referenz Pflasterwerk'!$F42)*IF(NOT(ISBLANK('Eingabe EF'!$AE27)),'Eingabe EF'!$AE27,'Eingabe EF'!$AC27)*IF(NOT(ISBLANK('Referenz Pflasterwerk'!$I$12)),'Referenz Pflasterwerk'!$I$12,'Referenz Pflasterwerk'!$F$12)</f>
        <v>0</v>
      </c>
      <c r="H172" s="38">
        <f>IF(NOT(ISBLANK('Referenz Pflasterwerk'!$I42)),'Referenz Pflasterwerk'!$I42,'Referenz Pflasterwerk'!$F42)*IF(NOT(ISBLANK('Eingabe EF'!$AI27)),'Eingabe EF'!$AI27,'Eingabe EF'!$AG27)*IF(NOT(ISBLANK('Referenz Pflasterwerk'!$I$12)),'Referenz Pflasterwerk'!$I$12,'Referenz Pflasterwerk'!$F$12)</f>
        <v>387.03000000000003</v>
      </c>
      <c r="I172" s="17"/>
      <c r="J172" s="38">
        <f>F172+G172</f>
        <v>0</v>
      </c>
      <c r="K172" s="38">
        <f>SUM(F172:H172)</f>
        <v>387.03000000000003</v>
      </c>
      <c r="L172" s="17" t="s">
        <v>199</v>
      </c>
      <c r="M172" s="43"/>
      <c r="N172" s="17"/>
      <c r="O172" s="17"/>
      <c r="P172" s="17"/>
      <c r="Q172" s="30"/>
      <c r="R172" s="17"/>
      <c r="S172" s="17"/>
      <c r="T172" s="17"/>
    </row>
    <row r="173" spans="2:21" ht="15.75" hidden="1" outlineLevel="1" x14ac:dyDescent="0.3">
      <c r="B173" s="17"/>
      <c r="C173" s="17"/>
      <c r="D173" s="17" t="s">
        <v>180</v>
      </c>
      <c r="E173" s="17"/>
      <c r="F173" s="38">
        <f>IF(NOT(ISBLANK('Referenz Pflasterwerk'!$I43)),'Referenz Pflasterwerk'!$I43,'Referenz Pflasterwerk'!$F43)*IF(NOT(ISBLANK('Eingabe EF'!$AA28)),'Eingabe EF'!$AA28,0)*IF(NOT(ISBLANK('Referenz Pflasterwerk'!$I$12)),'Referenz Pflasterwerk'!$I$12,'Referenz Pflasterwerk'!$F$12)</f>
        <v>0</v>
      </c>
      <c r="G173" s="38">
        <f>IF(NOT(ISBLANK('Referenz Pflasterwerk'!$I43)),'Referenz Pflasterwerk'!$I43,'Referenz Pflasterwerk'!$F43)*IF(NOT(ISBLANK('Eingabe EF'!$AE28)),'Eingabe EF'!$AE28,0)*IF(NOT(ISBLANK('Referenz Pflasterwerk'!$I$12)),'Referenz Pflasterwerk'!$I$12,'Referenz Pflasterwerk'!$F$12)</f>
        <v>0</v>
      </c>
      <c r="H173" s="38">
        <f>IF(NOT(ISBLANK('Referenz Pflasterwerk'!$I43)),'Referenz Pflasterwerk'!$I43,'Referenz Pflasterwerk'!$F43)*IF(NOT(ISBLANK('Eingabe EF'!$AI28)),'Eingabe EF'!$AI28,0)*IF(NOT(ISBLANK('Referenz Pflasterwerk'!$I$12)),'Referenz Pflasterwerk'!$I$12,'Referenz Pflasterwerk'!$F$12)</f>
        <v>0</v>
      </c>
      <c r="I173" s="17"/>
      <c r="J173" s="38">
        <f t="shared" ref="J173:J174" si="29">F173+G173</f>
        <v>0</v>
      </c>
      <c r="K173" s="38">
        <f t="shared" ref="K173:K174" si="30">SUM(F173:H173)</f>
        <v>0</v>
      </c>
      <c r="L173" s="17" t="s">
        <v>199</v>
      </c>
      <c r="M173" s="43"/>
      <c r="N173" s="17"/>
      <c r="O173" s="17"/>
      <c r="P173" s="17"/>
      <c r="Q173" s="30"/>
      <c r="R173" s="17"/>
      <c r="S173" s="66"/>
      <c r="T173" s="17"/>
    </row>
    <row r="174" spans="2:21" ht="15.75" hidden="1" outlineLevel="1" x14ac:dyDescent="0.3">
      <c r="B174" s="17"/>
      <c r="C174" s="17"/>
      <c r="D174" s="17" t="s">
        <v>181</v>
      </c>
      <c r="E174" s="17"/>
      <c r="F174" s="38">
        <f>IF(NOT(ISBLANK('Referenz Pflasterwerk'!$I44)),'Referenz Pflasterwerk'!$I44,'Referenz Pflasterwerk'!$F44)*IF(NOT(ISBLANK('Eingabe EF'!$AA29)),'Eingabe EF'!$AA29,0)*IF(NOT(ISBLANK('Referenz Pflasterwerk'!$I$12)),'Referenz Pflasterwerk'!$I$12,'Referenz Pflasterwerk'!$F$12)</f>
        <v>0</v>
      </c>
      <c r="G174" s="38">
        <f>IF(NOT(ISBLANK('Referenz Pflasterwerk'!$I44)),'Referenz Pflasterwerk'!$I44,'Referenz Pflasterwerk'!$F44)*IF(NOT(ISBLANK('Eingabe EF'!$AE29)),'Eingabe EF'!$AE29,0)*IF(NOT(ISBLANK('Referenz Pflasterwerk'!$I$12)),'Referenz Pflasterwerk'!$I$12,'Referenz Pflasterwerk'!$F$12)</f>
        <v>0</v>
      </c>
      <c r="H174" s="38">
        <f>IF(NOT(ISBLANK('Referenz Pflasterwerk'!$I44)),'Referenz Pflasterwerk'!$I44,'Referenz Pflasterwerk'!$F44)*IF(NOT(ISBLANK('Eingabe EF'!$AI29)),'Eingabe EF'!$AI29,0)*IF(NOT(ISBLANK('Referenz Pflasterwerk'!$I$12)),'Referenz Pflasterwerk'!$I$12,'Referenz Pflasterwerk'!$F$12)</f>
        <v>0</v>
      </c>
      <c r="I174" s="17"/>
      <c r="J174" s="38">
        <f t="shared" si="29"/>
        <v>0</v>
      </c>
      <c r="K174" s="38">
        <f t="shared" si="30"/>
        <v>0</v>
      </c>
      <c r="L174" s="17" t="s">
        <v>199</v>
      </c>
      <c r="M174" s="43"/>
      <c r="N174" s="43"/>
      <c r="O174" s="43"/>
      <c r="P174" s="43"/>
      <c r="Q174" s="43"/>
      <c r="R174" s="43"/>
      <c r="S174" s="43"/>
    </row>
    <row r="175" spans="2:21" hidden="1" outlineLevel="1" x14ac:dyDescent="0.2">
      <c r="B175" s="17"/>
      <c r="C175" s="17"/>
      <c r="D175" s="17"/>
      <c r="E175" s="17"/>
      <c r="F175" s="20"/>
      <c r="G175" s="20"/>
      <c r="H175" s="20"/>
      <c r="I175" s="17"/>
      <c r="J175" s="17"/>
      <c r="K175" s="20"/>
      <c r="L175" s="20"/>
      <c r="M175" s="43"/>
      <c r="N175" s="43"/>
      <c r="O175" s="43"/>
      <c r="P175" s="43"/>
      <c r="Q175" s="43"/>
      <c r="R175" s="43"/>
      <c r="S175" s="43"/>
    </row>
    <row r="176" spans="2:21" ht="14.25" hidden="1" outlineLevel="1" x14ac:dyDescent="0.25">
      <c r="B176" s="17"/>
      <c r="C176" s="17"/>
      <c r="D176" s="21" t="s">
        <v>58</v>
      </c>
      <c r="E176" s="21"/>
      <c r="F176" s="74">
        <f>IF(NOT(ISBLANK('Referenz Pflasterwerk'!$I46)),'Referenz Pflasterwerk'!$I46,'Referenz Pflasterwerk'!$F46)*IF(NOT(ISBLANK('Eingabe EF'!$AA31)),'Eingabe EF'!$AA31,'Eingabe EF'!$Y31)*IF(NOT(ISBLANK('Referenz Pflasterwerk'!$I$12)),'Referenz Pflasterwerk'!$I$12,'Referenz Pflasterwerk'!$F$12)</f>
        <v>0</v>
      </c>
      <c r="G176" s="74">
        <f>IF(NOT(ISBLANK('Referenz Pflasterwerk'!$I46)),'Referenz Pflasterwerk'!$I46,'Referenz Pflasterwerk'!$F46)*IF(NOT(ISBLANK('Eingabe EF'!$AE31)),'Eingabe EF'!$AE31,'Eingabe EF'!$AC31)*IF(NOT(ISBLANK('Referenz Pflasterwerk'!$I$12)),'Referenz Pflasterwerk'!$I$12,'Referenz Pflasterwerk'!$F$12)</f>
        <v>0</v>
      </c>
      <c r="H176" s="74">
        <f>IF(NOT(ISBLANK('Referenz Pflasterwerk'!$I46)),'Referenz Pflasterwerk'!$I46,'Referenz Pflasterwerk'!$F46)*IF(NOT(ISBLANK('Eingabe EF'!$AI31)),'Eingabe EF'!$AI31,'Eingabe EF'!$AG31)*IF(NOT(ISBLANK('Referenz Pflasterwerk'!$I$12)),'Referenz Pflasterwerk'!$I$12,'Referenz Pflasterwerk'!$F$12)</f>
        <v>1040</v>
      </c>
      <c r="I176" s="21"/>
      <c r="J176" s="74">
        <f>F176+G176</f>
        <v>0</v>
      </c>
      <c r="K176" s="74">
        <f t="shared" ref="K176" si="31">SUM(F176:H176)</f>
        <v>1040</v>
      </c>
      <c r="L176" s="21" t="s">
        <v>198</v>
      </c>
      <c r="M176" s="43"/>
      <c r="N176" s="43"/>
      <c r="O176" s="43"/>
      <c r="P176" s="43"/>
      <c r="Q176" s="43"/>
      <c r="R176" s="43"/>
      <c r="S176" s="43"/>
    </row>
    <row r="177" spans="2:19" hidden="1" outlineLevel="1" x14ac:dyDescent="0.2">
      <c r="B177" s="17"/>
      <c r="C177" s="17"/>
      <c r="D177" s="17"/>
      <c r="E177" s="17"/>
      <c r="F177" s="20"/>
      <c r="G177" s="20"/>
      <c r="H177" s="20"/>
      <c r="I177" s="17"/>
      <c r="J177" s="17"/>
      <c r="K177" s="20"/>
      <c r="L177" s="20"/>
      <c r="M177" s="43"/>
      <c r="N177" s="43"/>
      <c r="O177" s="43"/>
      <c r="P177" s="43"/>
      <c r="Q177" s="43"/>
      <c r="R177" s="43"/>
      <c r="S177" s="43"/>
    </row>
    <row r="178" spans="2:19" ht="14.25" hidden="1" outlineLevel="1" x14ac:dyDescent="0.25">
      <c r="B178" s="69"/>
      <c r="C178" s="69" t="s">
        <v>182</v>
      </c>
      <c r="D178" s="70"/>
      <c r="E178" s="70"/>
      <c r="F178" s="71">
        <f>SUM(F179:F181)</f>
        <v>0</v>
      </c>
      <c r="G178" s="71">
        <f>SUM(G179:G181)</f>
        <v>0</v>
      </c>
      <c r="H178" s="71">
        <f>SUM(H179:H181)</f>
        <v>424.19999999999993</v>
      </c>
      <c r="I178" s="70"/>
      <c r="J178" s="71">
        <f t="shared" ref="J178" si="32">F178+G178</f>
        <v>0</v>
      </c>
      <c r="K178" s="71">
        <f t="shared" ref="K178" si="33">SUM(F178:H178)</f>
        <v>424.19999999999993</v>
      </c>
      <c r="L178" s="76" t="s">
        <v>198</v>
      </c>
      <c r="M178" s="43"/>
      <c r="N178" s="43"/>
      <c r="O178" s="43"/>
      <c r="P178" s="43"/>
      <c r="Q178" s="43"/>
      <c r="R178" s="43"/>
      <c r="S178" s="43"/>
    </row>
    <row r="179" spans="2:19" ht="15.75" hidden="1" outlineLevel="1" x14ac:dyDescent="0.3">
      <c r="B179" s="17"/>
      <c r="C179" s="17"/>
      <c r="D179" s="17" t="s">
        <v>60</v>
      </c>
      <c r="E179" s="17"/>
      <c r="F179" s="38">
        <f>IF(NOT(ISBLANK('Referenz Pflasterwerk'!$I49)),'Referenz Pflasterwerk'!$I49,'Referenz Pflasterwerk'!$F49)*IF(NOT(ISBLANK('Eingabe EF'!$AA34)),'Eingabe EF'!$AA34,'Eingabe EF'!$Y34)*IF(NOT(ISBLANK('Referenz Pflasterwerk'!$I$12)),'Referenz Pflasterwerk'!$I$12,'Referenz Pflasterwerk'!$F$12)</f>
        <v>0</v>
      </c>
      <c r="G179" s="38">
        <f>IF(NOT(ISBLANK('Referenz Pflasterwerk'!$I49)),'Referenz Pflasterwerk'!$I49,'Referenz Pflasterwerk'!$F49)*IF(NOT(ISBLANK('Eingabe EF'!$AE34)),'Eingabe EF'!$AE34,'Eingabe EF'!$AC34)*IF(NOT(ISBLANK('Referenz Pflasterwerk'!$I$12)),'Referenz Pflasterwerk'!$I$12,'Referenz Pflasterwerk'!$F$12)</f>
        <v>0</v>
      </c>
      <c r="H179" s="38">
        <f>IF(NOT(ISBLANK('Referenz Pflasterwerk'!$I49)),'Referenz Pflasterwerk'!$I49,'Referenz Pflasterwerk'!$F49)*IF(NOT(ISBLANK('Eingabe EF'!$AI34)),'Eingabe EF'!$AI34,'Eingabe EF'!$AG34)*IF(NOT(ISBLANK('Referenz Pflasterwerk'!$I$12)),'Referenz Pflasterwerk'!$I$12,'Referenz Pflasterwerk'!$F$12)</f>
        <v>356.4</v>
      </c>
      <c r="I179" s="17"/>
      <c r="J179" s="38">
        <f>F179+G179</f>
        <v>0</v>
      </c>
      <c r="K179" s="38">
        <f>SUM(F179:H179)</f>
        <v>356.4</v>
      </c>
      <c r="L179" s="17" t="s">
        <v>199</v>
      </c>
      <c r="M179" s="43"/>
      <c r="N179" s="43"/>
      <c r="O179" s="43"/>
      <c r="P179" s="43"/>
      <c r="Q179" s="43"/>
      <c r="R179" s="43"/>
      <c r="S179" s="43"/>
    </row>
    <row r="180" spans="2:19" ht="15.75" hidden="1" outlineLevel="1" x14ac:dyDescent="0.3">
      <c r="B180" s="17"/>
      <c r="C180" s="17"/>
      <c r="D180" s="17" t="s">
        <v>61</v>
      </c>
      <c r="E180" s="17"/>
      <c r="F180" s="38">
        <f>IF(NOT(ISBLANK('Referenz Pflasterwerk'!$I50)),'Referenz Pflasterwerk'!$I50,'Referenz Pflasterwerk'!$F50)*IF(NOT(ISBLANK('Eingabe EF'!$AA35)),'Eingabe EF'!$AA35,'Eingabe EF'!$Y35)*IF(NOT(ISBLANK('Referenz Pflasterwerk'!$I$12)),'Referenz Pflasterwerk'!$I$12,'Referenz Pflasterwerk'!$F$12)</f>
        <v>0</v>
      </c>
      <c r="G180" s="38">
        <f>IF(NOT(ISBLANK('Referenz Pflasterwerk'!$I50)),'Referenz Pflasterwerk'!$I50,'Referenz Pflasterwerk'!$F50)*IF(NOT(ISBLANK('Eingabe EF'!$AE35)),'Eingabe EF'!$AE35,'Eingabe EF'!$AC35)*IF(NOT(ISBLANK('Referenz Pflasterwerk'!$I$12)),'Referenz Pflasterwerk'!$I$12,'Referenz Pflasterwerk'!$F$12)</f>
        <v>0</v>
      </c>
      <c r="H180" s="38">
        <f>IF(NOT(ISBLANK('Referenz Pflasterwerk'!$I50)),'Referenz Pflasterwerk'!$I50,'Referenz Pflasterwerk'!$F50)*IF(NOT(ISBLANK('Eingabe EF'!$AI35)),'Eingabe EF'!$AI35,'Eingabe EF'!$AG35)*IF(NOT(ISBLANK('Referenz Pflasterwerk'!$I$12)),'Referenz Pflasterwerk'!$I$12,'Referenz Pflasterwerk'!$F$12)</f>
        <v>0</v>
      </c>
      <c r="I180" s="17"/>
      <c r="J180" s="38">
        <f>F180+G180</f>
        <v>0</v>
      </c>
      <c r="K180" s="38">
        <f>SUM(F180:H180)</f>
        <v>0</v>
      </c>
      <c r="L180" s="17" t="s">
        <v>199</v>
      </c>
      <c r="M180" s="43"/>
      <c r="N180" s="43"/>
      <c r="O180" s="43"/>
      <c r="P180" s="43"/>
      <c r="Q180" s="43"/>
      <c r="R180" s="43"/>
      <c r="S180" s="43"/>
    </row>
    <row r="181" spans="2:19" ht="15.75" hidden="1" outlineLevel="1" x14ac:dyDescent="0.3">
      <c r="B181" s="17"/>
      <c r="C181" s="17"/>
      <c r="D181" s="17" t="s">
        <v>62</v>
      </c>
      <c r="E181" s="17"/>
      <c r="F181" s="38">
        <f>IF(NOT(ISBLANK('Referenz Pflasterwerk'!$I51)),'Referenz Pflasterwerk'!$I51,'Referenz Pflasterwerk'!$F51)*IF(NOT(ISBLANK('Eingabe EF'!$AA36)),'Eingabe EF'!$AA36,'Eingabe EF'!$Y36)*IF(NOT(ISBLANK('Referenz Pflasterwerk'!$I$12)),'Referenz Pflasterwerk'!$I$12,'Referenz Pflasterwerk'!$F$12)</f>
        <v>0</v>
      </c>
      <c r="G181" s="38">
        <f>IF(NOT(ISBLANK('Referenz Pflasterwerk'!$I51)),'Referenz Pflasterwerk'!$I51,'Referenz Pflasterwerk'!$F51)*IF(NOT(ISBLANK('Eingabe EF'!$AE36)),'Eingabe EF'!$AE36,'Eingabe EF'!$AC36)*IF(NOT(ISBLANK('Referenz Pflasterwerk'!$I$12)),'Referenz Pflasterwerk'!$I$12,'Referenz Pflasterwerk'!$F$12)</f>
        <v>0</v>
      </c>
      <c r="H181" s="38">
        <f>IF(NOT(ISBLANK('Referenz Pflasterwerk'!$I51)),'Referenz Pflasterwerk'!$I51,'Referenz Pflasterwerk'!$F51)*IF(NOT(ISBLANK('Eingabe EF'!$AI36)),'Eingabe EF'!$AI36,'Eingabe EF'!$AG36)*IF(NOT(ISBLANK('Referenz Pflasterwerk'!$I$12)),'Referenz Pflasterwerk'!$I$12,'Referenz Pflasterwerk'!$F$12)</f>
        <v>67.799999999999983</v>
      </c>
      <c r="I181" s="17"/>
      <c r="J181" s="38">
        <f>F181+G181</f>
        <v>0</v>
      </c>
      <c r="K181" s="38">
        <f>SUM(F181:H181)</f>
        <v>67.799999999999983</v>
      </c>
      <c r="L181" s="17" t="s">
        <v>199</v>
      </c>
      <c r="M181" s="43"/>
      <c r="N181" s="43"/>
      <c r="O181" s="43"/>
      <c r="P181" s="43"/>
      <c r="Q181" s="43"/>
      <c r="R181" s="43"/>
      <c r="S181" s="43"/>
    </row>
    <row r="182" spans="2:19" hidden="1" outlineLevel="1" x14ac:dyDescent="0.2">
      <c r="B182" s="17"/>
      <c r="C182" s="17"/>
      <c r="D182" s="17"/>
      <c r="E182" s="17"/>
      <c r="F182" s="20"/>
      <c r="G182" s="20"/>
      <c r="H182" s="20"/>
      <c r="I182" s="17"/>
      <c r="J182" s="17"/>
      <c r="K182" s="20"/>
      <c r="L182" s="20"/>
      <c r="M182" s="43"/>
      <c r="N182" s="43"/>
      <c r="O182" s="43"/>
      <c r="P182" s="43"/>
      <c r="Q182" s="43"/>
      <c r="R182" s="43"/>
      <c r="S182" s="43"/>
    </row>
    <row r="183" spans="2:19" ht="14.25" hidden="1" outlineLevel="1" x14ac:dyDescent="0.25">
      <c r="B183" s="69"/>
      <c r="C183" s="69" t="s">
        <v>52</v>
      </c>
      <c r="D183" s="70"/>
      <c r="E183" s="70"/>
      <c r="F183" s="71">
        <f>SUM(F184:F187)</f>
        <v>0</v>
      </c>
      <c r="G183" s="71">
        <f>SUM(G184:G187)</f>
        <v>0</v>
      </c>
      <c r="H183" s="71">
        <f>SUM(H184:H187)</f>
        <v>185.55932668689491</v>
      </c>
      <c r="I183" s="70"/>
      <c r="J183" s="71">
        <f t="shared" ref="J183:J187" si="34">F183+G183</f>
        <v>0</v>
      </c>
      <c r="K183" s="71">
        <f t="shared" ref="K183" si="35">SUM(F183:H183)</f>
        <v>185.55932668689491</v>
      </c>
      <c r="L183" s="76" t="s">
        <v>198</v>
      </c>
      <c r="M183" s="43"/>
      <c r="N183" s="43"/>
      <c r="O183" s="43"/>
      <c r="P183" s="43"/>
      <c r="Q183" s="43"/>
      <c r="R183" s="43"/>
      <c r="S183" s="43"/>
    </row>
    <row r="184" spans="2:19" ht="15.75" hidden="1" outlineLevel="1" x14ac:dyDescent="0.3">
      <c r="B184" s="17"/>
      <c r="C184" s="17"/>
      <c r="D184" s="17" t="s">
        <v>53</v>
      </c>
      <c r="E184" s="17"/>
      <c r="F184" s="38">
        <f>IF(NOT(ISBLANK('Referenz Pflasterwerk'!$I$53)),'Referenz Pflasterwerk'!$I$53,'Referenz Pflasterwerk'!$F$53)*IF(NOT(ISBLANK('Referenz Pflasterwerk'!$I54)),'Referenz Pflasterwerk'!$I54,'Referenz Pflasterwerk'!$F54)*IF(NOT(ISBLANK('Eingabe EF'!$AA39)),'Eingabe EF'!$AA39,'Eingabe EF'!$Y39)*IF(NOT(ISBLANK('Referenz Pflasterwerk'!$I$12)),'Referenz Pflasterwerk'!$I$12,'Referenz Pflasterwerk'!$F$12)</f>
        <v>0</v>
      </c>
      <c r="G184" s="38">
        <f>IF(NOT(ISBLANK('Referenz Pflasterwerk'!$I$53)),'Referenz Pflasterwerk'!$I$53,'Referenz Pflasterwerk'!$F$53)*IF(NOT(ISBLANK('Referenz Pflasterwerk'!$I54)),'Referenz Pflasterwerk'!$I54,'Referenz Pflasterwerk'!$F54)*IF(NOT(ISBLANK('Eingabe EF'!$AE39)),'Eingabe EF'!$AE39,'Eingabe EF'!$AC39)*IF(NOT(ISBLANK('Referenz Pflasterwerk'!$I$12)),'Referenz Pflasterwerk'!$I$12,'Referenz Pflasterwerk'!$F$12)</f>
        <v>0</v>
      </c>
      <c r="H184" s="38">
        <f>IF(NOT(ISBLANK('Referenz Pflasterwerk'!$I$53)),'Referenz Pflasterwerk'!$I$53,'Referenz Pflasterwerk'!$F$53)*IF(NOT(ISBLANK('Referenz Pflasterwerk'!$I54)),'Referenz Pflasterwerk'!$I54,'Referenz Pflasterwerk'!$F54)*IF(NOT(ISBLANK('Eingabe EF'!$AI39)),'Eingabe EF'!$AI39,'Eingabe EF'!$AG39)*IF(NOT(ISBLANK('Referenz Pflasterwerk'!$I$12)),'Referenz Pflasterwerk'!$I$12,'Referenz Pflasterwerk'!$F$12)</f>
        <v>59.997399219765924</v>
      </c>
      <c r="I184" s="17"/>
      <c r="J184" s="38">
        <f t="shared" si="34"/>
        <v>0</v>
      </c>
      <c r="K184" s="38">
        <f t="shared" ref="K184:K187" si="36">SUM(F184:H184)</f>
        <v>59.997399219765924</v>
      </c>
      <c r="L184" s="17" t="s">
        <v>199</v>
      </c>
      <c r="M184" s="43"/>
      <c r="N184" s="43"/>
      <c r="O184" s="43"/>
      <c r="P184" s="43"/>
      <c r="Q184" s="43"/>
      <c r="R184" s="43"/>
      <c r="S184" s="43"/>
    </row>
    <row r="185" spans="2:19" ht="15.75" hidden="1" outlineLevel="1" x14ac:dyDescent="0.3">
      <c r="B185" s="17"/>
      <c r="C185" s="17"/>
      <c r="D185" s="17" t="s">
        <v>55</v>
      </c>
      <c r="E185" s="17"/>
      <c r="F185" s="38">
        <f>IF(NOT(ISBLANK('Referenz Pflasterwerk'!$I$53)),'Referenz Pflasterwerk'!$I$53,'Referenz Pflasterwerk'!$F$53)*IF(NOT(ISBLANK('Referenz Pflasterwerk'!$I55)),'Referenz Pflasterwerk'!$I55,'Referenz Pflasterwerk'!$F55)*IF(NOT(ISBLANK('Eingabe EF'!$AA40)),'Eingabe EF'!$AA40,'Eingabe EF'!$Y40)*IF(NOT(ISBLANK('Referenz Pflasterwerk'!$I$12)),'Referenz Pflasterwerk'!$I$12,'Referenz Pflasterwerk'!$F$12)</f>
        <v>0</v>
      </c>
      <c r="G185" s="38">
        <f>IF(NOT(ISBLANK('Referenz Pflasterwerk'!$I$53)),'Referenz Pflasterwerk'!$I$53,'Referenz Pflasterwerk'!$F$53)*IF(NOT(ISBLANK('Referenz Pflasterwerk'!$I55)),'Referenz Pflasterwerk'!$I55,'Referenz Pflasterwerk'!$F55)*IF(NOT(ISBLANK('Eingabe EF'!$AE40)),'Eingabe EF'!$AE40,'Eingabe EF'!$AC40)*IF(NOT(ISBLANK('Referenz Pflasterwerk'!$I$12)),'Referenz Pflasterwerk'!$I$12,'Referenz Pflasterwerk'!$F$12)</f>
        <v>0</v>
      </c>
      <c r="H185" s="38">
        <f>IF(NOT(ISBLANK('Referenz Pflasterwerk'!$I$53)),'Referenz Pflasterwerk'!$I$53,'Referenz Pflasterwerk'!$F$53)*IF(NOT(ISBLANK('Referenz Pflasterwerk'!$I55)),'Referenz Pflasterwerk'!$I55,'Referenz Pflasterwerk'!$F55)*IF(NOT(ISBLANK('Eingabe EF'!$AI40)),'Eingabe EF'!$AI40,'Eingabe EF'!$AG40)*IF(NOT(ISBLANK('Referenz Pflasterwerk'!$I$12)),'Referenz Pflasterwerk'!$I$12,'Referenz Pflasterwerk'!$F$12)</f>
        <v>7.224692963444574</v>
      </c>
      <c r="I185" s="17"/>
      <c r="J185" s="38">
        <f t="shared" si="34"/>
        <v>0</v>
      </c>
      <c r="K185" s="38">
        <f t="shared" si="36"/>
        <v>7.224692963444574</v>
      </c>
      <c r="L185" s="17" t="s">
        <v>199</v>
      </c>
      <c r="M185" s="43"/>
      <c r="N185" s="43"/>
      <c r="O185" s="43"/>
      <c r="P185" s="43"/>
      <c r="Q185" s="43"/>
      <c r="R185" s="43"/>
      <c r="S185" s="43"/>
    </row>
    <row r="186" spans="2:19" ht="15.75" hidden="1" outlineLevel="1" x14ac:dyDescent="0.3">
      <c r="B186" s="17"/>
      <c r="C186" s="17"/>
      <c r="D186" s="17" t="s">
        <v>56</v>
      </c>
      <c r="E186" s="17"/>
      <c r="F186" s="38">
        <f>IF(NOT(ISBLANK('Referenz Pflasterwerk'!$I$53)),'Referenz Pflasterwerk'!$I$53,'Referenz Pflasterwerk'!$F$53)*IF(NOT(ISBLANK('Referenz Pflasterwerk'!$I56)),'Referenz Pflasterwerk'!$I56,'Referenz Pflasterwerk'!$F56)*IF(NOT(ISBLANK('Eingabe EF'!$AA41)),'Eingabe EF'!$AA41,'Eingabe EF'!$Y41)*IF(NOT(ISBLANK('Referenz Pflasterwerk'!$I$12)),'Referenz Pflasterwerk'!$I$12,'Referenz Pflasterwerk'!$F$12)</f>
        <v>0</v>
      </c>
      <c r="G186" s="38">
        <f>IF(NOT(ISBLANK('Referenz Pflasterwerk'!$I$53)),'Referenz Pflasterwerk'!$I$53,'Referenz Pflasterwerk'!$F$53)*IF(NOT(ISBLANK('Referenz Pflasterwerk'!$I56)),'Referenz Pflasterwerk'!$I56,'Referenz Pflasterwerk'!$F56)*IF(NOT(ISBLANK('Eingabe EF'!$AE41)),'Eingabe EF'!$AE41,'Eingabe EF'!$AC41)*IF(NOT(ISBLANK('Referenz Pflasterwerk'!$I$12)),'Referenz Pflasterwerk'!$I$12,'Referenz Pflasterwerk'!$F$12)</f>
        <v>0</v>
      </c>
      <c r="H186" s="38">
        <f>IF(NOT(ISBLANK('Referenz Pflasterwerk'!$I$53)),'Referenz Pflasterwerk'!$I$53,'Referenz Pflasterwerk'!$F$53)*IF(NOT(ISBLANK('Referenz Pflasterwerk'!$I56)),'Referenz Pflasterwerk'!$I56,'Referenz Pflasterwerk'!$F56)*IF(NOT(ISBLANK('Eingabe EF'!$AI41)),'Eingabe EF'!$AI41,'Eingabe EF'!$AG41)*IF(NOT(ISBLANK('Referenz Pflasterwerk'!$I$12)),'Referenz Pflasterwerk'!$I$12,'Referenz Pflasterwerk'!$F$12)</f>
        <v>1.7771998266146515E-2</v>
      </c>
      <c r="I186" s="17"/>
      <c r="J186" s="38">
        <f t="shared" si="34"/>
        <v>0</v>
      </c>
      <c r="K186" s="38">
        <f t="shared" si="36"/>
        <v>1.7771998266146515E-2</v>
      </c>
      <c r="L186" s="17" t="s">
        <v>199</v>
      </c>
      <c r="M186" s="43"/>
      <c r="N186" s="43"/>
      <c r="O186" s="43"/>
      <c r="P186" s="43"/>
      <c r="Q186" s="43"/>
      <c r="R186" s="43"/>
      <c r="S186" s="43"/>
    </row>
    <row r="187" spans="2:19" ht="15.75" hidden="1" outlineLevel="1" x14ac:dyDescent="0.3">
      <c r="B187" s="17"/>
      <c r="C187" s="17"/>
      <c r="D187" s="17" t="s">
        <v>57</v>
      </c>
      <c r="E187" s="17"/>
      <c r="F187" s="38">
        <f>IF(NOT(ISBLANK('Referenz Pflasterwerk'!$I$53)),'Referenz Pflasterwerk'!$I$53,'Referenz Pflasterwerk'!$F$53)*IF(NOT(ISBLANK('Referenz Pflasterwerk'!$I57)),'Referenz Pflasterwerk'!$I57,'Referenz Pflasterwerk'!$F57)*IF(NOT(ISBLANK('Eingabe EF'!$AA42)),'Eingabe EF'!$AA42,'Eingabe EF'!$Y42)*IF(NOT(ISBLANK('Referenz Pflasterwerk'!$I$12)),'Referenz Pflasterwerk'!$I$12,'Referenz Pflasterwerk'!$F$12)</f>
        <v>0</v>
      </c>
      <c r="G187" s="38">
        <f>IF(NOT(ISBLANK('Referenz Pflasterwerk'!$I$53)),'Referenz Pflasterwerk'!$I$53,'Referenz Pflasterwerk'!$F$53)*IF(NOT(ISBLANK('Referenz Pflasterwerk'!$I57)),'Referenz Pflasterwerk'!$I57,'Referenz Pflasterwerk'!$F57)*IF(NOT(ISBLANK('Eingabe EF'!$AE42)),'Eingabe EF'!$AE42,'Eingabe EF'!$AC42)*IF(NOT(ISBLANK('Referenz Pflasterwerk'!$I$12)),'Referenz Pflasterwerk'!$I$12,'Referenz Pflasterwerk'!$F$12)</f>
        <v>0</v>
      </c>
      <c r="H187" s="38">
        <f>IF(NOT(ISBLANK('Referenz Pflasterwerk'!$I$53)),'Referenz Pflasterwerk'!$I$53,'Referenz Pflasterwerk'!$F$53)*IF(NOT(ISBLANK('Referenz Pflasterwerk'!$I57)),'Referenz Pflasterwerk'!$I57,'Referenz Pflasterwerk'!$F57)*IF(NOT(ISBLANK('Eingabe EF'!$AI42)),'Eingabe EF'!$AI42,'Eingabe EF'!$AG42)*IF(NOT(ISBLANK('Referenz Pflasterwerk'!$I$12)),'Referenz Pflasterwerk'!$I$12,'Referenz Pflasterwerk'!$F$12)</f>
        <v>118.31946250541829</v>
      </c>
      <c r="I187" s="17"/>
      <c r="J187" s="38">
        <f t="shared" si="34"/>
        <v>0</v>
      </c>
      <c r="K187" s="38">
        <f t="shared" si="36"/>
        <v>118.31946250541829</v>
      </c>
      <c r="L187" s="17" t="s">
        <v>199</v>
      </c>
      <c r="M187" s="43"/>
      <c r="N187" s="43"/>
      <c r="O187" s="43"/>
      <c r="P187" s="43"/>
      <c r="Q187" s="43"/>
      <c r="R187" s="43"/>
      <c r="S187" s="43"/>
    </row>
    <row r="188" spans="2:19" hidden="1" outlineLevel="1" x14ac:dyDescent="0.2">
      <c r="B188" s="17"/>
      <c r="C188" s="17"/>
      <c r="D188" s="17"/>
      <c r="E188" s="17"/>
      <c r="F188" s="20"/>
      <c r="G188" s="20"/>
      <c r="H188" s="20"/>
      <c r="I188" s="17"/>
      <c r="J188" s="20"/>
      <c r="K188" s="20"/>
      <c r="L188" s="17"/>
      <c r="M188" s="43"/>
      <c r="N188" s="43"/>
      <c r="O188" s="43"/>
      <c r="P188" s="43"/>
      <c r="Q188" s="43"/>
      <c r="R188" s="43"/>
      <c r="S188" s="43"/>
    </row>
    <row r="189" spans="2:19" ht="14.25" hidden="1" outlineLevel="1" x14ac:dyDescent="0.25">
      <c r="B189" s="17"/>
      <c r="C189" s="17"/>
      <c r="D189" s="21" t="s">
        <v>113</v>
      </c>
      <c r="E189" s="21"/>
      <c r="F189" s="74">
        <f>IF(NOT(ISBLANK('Referenz Pflasterwerk'!$I59)),'Referenz Pflasterwerk'!$I59,'Referenz Pflasterwerk'!$F59)*IF(NOT(ISBLANK('Eingabe EF'!$AA44)),'Eingabe EF'!$AA44,0)*IF(NOT(ISBLANK('Referenz Pflasterwerk'!$I$12)),'Referenz Pflasterwerk'!$I$12,'Referenz Pflasterwerk'!$F$12)</f>
        <v>0</v>
      </c>
      <c r="G189" s="74">
        <f>IF(NOT(ISBLANK('Referenz Pflasterwerk'!$I59)),'Referenz Pflasterwerk'!$I59,'Referenz Pflasterwerk'!$F59)*IF(NOT(ISBLANK('Eingabe EF'!$AE44)),'Eingabe EF'!$AE44,0)*IF(NOT(ISBLANK('Referenz Pflasterwerk'!$I$12)),'Referenz Pflasterwerk'!$I$12,'Referenz Pflasterwerk'!$F$12)</f>
        <v>0</v>
      </c>
      <c r="H189" s="74">
        <f>IF(NOT(ISBLANK('Referenz Pflasterwerk'!$I59)),'Referenz Pflasterwerk'!$I59,'Referenz Pflasterwerk'!$F59)*IF(NOT(ISBLANK('Eingabe EF'!$AI44)),'Eingabe EF'!$AI44,0)*IF(NOT(ISBLANK('Referenz Pflasterwerk'!$I$12)),'Referenz Pflasterwerk'!$I$12,'Referenz Pflasterwerk'!$F$12)</f>
        <v>0</v>
      </c>
      <c r="I189" s="21"/>
      <c r="J189" s="74">
        <f>F189+G189</f>
        <v>0</v>
      </c>
      <c r="K189" s="74">
        <f>SUM(F189:H189)</f>
        <v>0</v>
      </c>
      <c r="L189" s="21" t="s">
        <v>198</v>
      </c>
      <c r="M189" s="43"/>
      <c r="N189" s="43"/>
      <c r="O189" s="43"/>
      <c r="P189" s="43"/>
      <c r="Q189" s="43"/>
      <c r="R189" s="43"/>
      <c r="S189" s="43"/>
    </row>
    <row r="190" spans="2:19" ht="14.25" hidden="1" outlineLevel="1" x14ac:dyDescent="0.25">
      <c r="B190" s="17"/>
      <c r="C190" s="17"/>
      <c r="D190" s="21" t="s">
        <v>65</v>
      </c>
      <c r="E190" s="21"/>
      <c r="F190" s="74">
        <f>IF(NOT(ISBLANK('Referenz Pflasterwerk'!$I60)),'Referenz Pflasterwerk'!$I60,'Referenz Pflasterwerk'!$F60)*IF(NOT(ISBLANK('Eingabe EF'!$AA45)),'Eingabe EF'!$AA45,'Eingabe EF'!$Y45)</f>
        <v>0</v>
      </c>
      <c r="G190" s="74">
        <f>IF(NOT(ISBLANK('Referenz Pflasterwerk'!$I60)),'Referenz Pflasterwerk'!$I60,'Referenz Pflasterwerk'!$F60)*IF(NOT(ISBLANK('Eingabe EF'!$AE45)),'Eingabe EF'!$AE45,'Eingabe EF'!$AC45)</f>
        <v>0</v>
      </c>
      <c r="H190" s="74">
        <f>IF(NOT(ISBLANK('Referenz Pflasterwerk'!$I60)),'Referenz Pflasterwerk'!$I60,'Referenz Pflasterwerk'!$F60)*IF(NOT(ISBLANK('Eingabe EF'!$AI45)),'Eingabe EF'!$AI45,'Eingabe EF'!$AG45)</f>
        <v>5.4399999999999997E-2</v>
      </c>
      <c r="I190" s="21"/>
      <c r="J190" s="74">
        <f>F190+G190</f>
        <v>0</v>
      </c>
      <c r="K190" s="74">
        <f>SUM(F190:H190)</f>
        <v>5.4399999999999997E-2</v>
      </c>
      <c r="L190" s="21" t="s">
        <v>198</v>
      </c>
      <c r="M190" s="43"/>
      <c r="N190" s="43"/>
      <c r="O190" s="43"/>
      <c r="P190" s="43"/>
      <c r="Q190" s="43"/>
      <c r="R190" s="43"/>
      <c r="S190" s="43"/>
    </row>
    <row r="191" spans="2:19" hidden="1" outlineLevel="1" x14ac:dyDescent="0.2">
      <c r="B191" s="17"/>
      <c r="C191" s="17"/>
      <c r="D191" s="17"/>
      <c r="E191" s="17"/>
      <c r="F191" s="20"/>
      <c r="G191" s="20"/>
      <c r="H191" s="20"/>
      <c r="I191" s="17"/>
      <c r="J191" s="20"/>
      <c r="K191" s="20"/>
      <c r="L191" s="17"/>
      <c r="M191" s="43"/>
      <c r="N191" s="43"/>
      <c r="O191" s="43"/>
      <c r="P191" s="43"/>
      <c r="Q191" s="43"/>
      <c r="R191" s="43"/>
      <c r="S191" s="43"/>
    </row>
    <row r="192" spans="2:19" ht="14.25" hidden="1" outlineLevel="1" x14ac:dyDescent="0.25">
      <c r="B192" s="69"/>
      <c r="C192" s="69" t="s">
        <v>183</v>
      </c>
      <c r="D192" s="70"/>
      <c r="E192" s="70"/>
      <c r="F192" s="71">
        <f>SUM(F193:F195)</f>
        <v>0</v>
      </c>
      <c r="G192" s="71">
        <f>SUM(G193:G195)</f>
        <v>0</v>
      </c>
      <c r="H192" s="71">
        <f>SUM(H193:H195)</f>
        <v>0</v>
      </c>
      <c r="I192" s="70"/>
      <c r="J192" s="71">
        <f t="shared" ref="J192:J195" si="37">F192+G192</f>
        <v>0</v>
      </c>
      <c r="K192" s="71">
        <f t="shared" ref="K192" si="38">SUM(F192:H192)</f>
        <v>0</v>
      </c>
      <c r="L192" s="76" t="s">
        <v>198</v>
      </c>
      <c r="M192" s="43"/>
      <c r="N192" s="43"/>
      <c r="O192" s="43"/>
      <c r="P192" s="43"/>
      <c r="Q192" s="43"/>
      <c r="R192" s="43"/>
      <c r="S192" s="43"/>
    </row>
    <row r="193" spans="2:20" ht="15.75" hidden="1" outlineLevel="1" x14ac:dyDescent="0.3">
      <c r="B193" s="17"/>
      <c r="C193" s="17"/>
      <c r="D193" s="17" t="s">
        <v>184</v>
      </c>
      <c r="E193" s="17"/>
      <c r="F193" s="38">
        <f>IF(NOT(ISBLANK('Referenz Pflasterwerk'!$I63)),'Referenz Pflasterwerk'!$I63,'Referenz Pflasterwerk'!$F63)*IF(NOT(ISBLANK('Eingabe EF'!$AA48)),'Eingabe EF'!$AA48,0)*IF(NOT(ISBLANK('Referenz Pflasterwerk'!$I$12)),'Referenz Pflasterwerk'!$I$12,'Referenz Pflasterwerk'!$F$12)</f>
        <v>0</v>
      </c>
      <c r="G193" s="38">
        <f>IF(NOT(ISBLANK('Referenz Pflasterwerk'!$I63)),'Referenz Pflasterwerk'!$I63,'Referenz Pflasterwerk'!$F63)*IF(NOT(ISBLANK('Eingabe EF'!$AE48)),'Eingabe EF'!$AE48,0)*IF(NOT(ISBLANK('Referenz Pflasterwerk'!$I$12)),'Referenz Pflasterwerk'!$I$12,'Referenz Pflasterwerk'!$F$12)</f>
        <v>0</v>
      </c>
      <c r="H193" s="38">
        <f>IF(NOT(ISBLANK('Referenz Pflasterwerk'!$I63)),'Referenz Pflasterwerk'!$I63,'Referenz Pflasterwerk'!$F63)*IF(NOT(ISBLANK('Eingabe EF'!$AI48)),'Eingabe EF'!$AI48,0)*IF(NOT(ISBLANK('Referenz Pflasterwerk'!$I$12)),'Referenz Pflasterwerk'!$I$12,'Referenz Pflasterwerk'!$F$12)</f>
        <v>0</v>
      </c>
      <c r="I193" s="17"/>
      <c r="J193" s="38">
        <f t="shared" si="37"/>
        <v>0</v>
      </c>
      <c r="K193" s="38">
        <f t="shared" ref="K193:K195" si="39">SUM(F193:H193)</f>
        <v>0</v>
      </c>
      <c r="L193" s="17" t="s">
        <v>199</v>
      </c>
      <c r="M193" s="43"/>
      <c r="N193" s="43"/>
      <c r="O193" s="43"/>
      <c r="P193" s="43"/>
      <c r="Q193" s="43"/>
      <c r="R193" s="43"/>
      <c r="S193" s="43"/>
    </row>
    <row r="194" spans="2:20" ht="15.75" hidden="1" outlineLevel="1" x14ac:dyDescent="0.3">
      <c r="B194" s="17"/>
      <c r="C194" s="17"/>
      <c r="D194" s="17" t="s">
        <v>63</v>
      </c>
      <c r="E194" s="17"/>
      <c r="F194" s="38">
        <f>IF(NOT(ISBLANK('Referenz Pflasterwerk'!$I64)),'Referenz Pflasterwerk'!$I64,'Referenz Pflasterwerk'!$F64)*IF(NOT(ISBLANK('Eingabe EF'!$AA49)),'Eingabe EF'!$AA49,'Eingabe EF'!$Y49)*IF(NOT(ISBLANK('Referenz Pflasterwerk'!$I$12)),'Referenz Pflasterwerk'!$I$12,'Referenz Pflasterwerk'!$F$12)</f>
        <v>0</v>
      </c>
      <c r="G194" s="38">
        <f>IF(NOT(ISBLANK('Referenz Pflasterwerk'!$I64)),'Referenz Pflasterwerk'!$I64,'Referenz Pflasterwerk'!$F64)*IF(NOT(ISBLANK('Eingabe EF'!$AE49)),'Eingabe EF'!$AE49,'Eingabe EF'!$AC49)*IF(NOT(ISBLANK('Referenz Pflasterwerk'!$I$12)),'Referenz Pflasterwerk'!$I$12,'Referenz Pflasterwerk'!$F$12)</f>
        <v>0</v>
      </c>
      <c r="H194" s="38">
        <f>IF(NOT(ISBLANK('Referenz Pflasterwerk'!$I64)),'Referenz Pflasterwerk'!$I64,'Referenz Pflasterwerk'!$F64)*IF(NOT(ISBLANK('Eingabe EF'!$AI49)),'Eingabe EF'!$AI49,'Eingabe EF'!$AG49)*IF(NOT(ISBLANK('Referenz Pflasterwerk'!$I$12)),'Referenz Pflasterwerk'!$I$12,'Referenz Pflasterwerk'!$F$12)</f>
        <v>0</v>
      </c>
      <c r="I194" s="17"/>
      <c r="J194" s="38">
        <f t="shared" si="37"/>
        <v>0</v>
      </c>
      <c r="K194" s="38">
        <f t="shared" si="39"/>
        <v>0</v>
      </c>
      <c r="L194" s="17" t="s">
        <v>199</v>
      </c>
      <c r="M194" s="43"/>
      <c r="N194" s="43"/>
      <c r="O194" s="43"/>
      <c r="P194" s="43"/>
      <c r="Q194" s="43"/>
      <c r="R194" s="43"/>
      <c r="S194" s="43"/>
    </row>
    <row r="195" spans="2:20" ht="15.75" hidden="1" outlineLevel="1" x14ac:dyDescent="0.3">
      <c r="B195" s="17"/>
      <c r="C195" s="17"/>
      <c r="D195" s="17" t="s">
        <v>185</v>
      </c>
      <c r="E195" s="17"/>
      <c r="F195" s="38">
        <f>IF(NOT(ISBLANK('Referenz Pflasterwerk'!$I65)),'Referenz Pflasterwerk'!$I65,'Referenz Pflasterwerk'!$F65)*IF(NOT(ISBLANK('Eingabe EF'!$AA50)),'Eingabe EF'!$AA50,0)*IF(NOT(ISBLANK('Referenz Pflasterwerk'!$I$12)),'Referenz Pflasterwerk'!$I$12,'Referenz Pflasterwerk'!$F$12)</f>
        <v>0</v>
      </c>
      <c r="G195" s="38">
        <f>IF(NOT(ISBLANK('Referenz Pflasterwerk'!$I65)),'Referenz Pflasterwerk'!$I65,'Referenz Pflasterwerk'!$F65)*IF(NOT(ISBLANK('Eingabe EF'!$AE50)),'Eingabe EF'!$AE50,0)*IF(NOT(ISBLANK('Referenz Pflasterwerk'!$I$12)),'Referenz Pflasterwerk'!$I$12,'Referenz Pflasterwerk'!$F$12)</f>
        <v>0</v>
      </c>
      <c r="H195" s="38">
        <f>IF(NOT(ISBLANK('Referenz Pflasterwerk'!$I65)),'Referenz Pflasterwerk'!$I65,'Referenz Pflasterwerk'!$F65)*IF(NOT(ISBLANK('Eingabe EF'!$AI50)),'Eingabe EF'!$AI50,0)*IF(NOT(ISBLANK('Referenz Pflasterwerk'!$I$12)),'Referenz Pflasterwerk'!$I$12,'Referenz Pflasterwerk'!$F$12)</f>
        <v>0</v>
      </c>
      <c r="I195" s="17"/>
      <c r="J195" s="38">
        <f t="shared" si="37"/>
        <v>0</v>
      </c>
      <c r="K195" s="38">
        <f t="shared" si="39"/>
        <v>0</v>
      </c>
      <c r="L195" s="17" t="s">
        <v>199</v>
      </c>
      <c r="M195" s="43"/>
      <c r="N195" s="43"/>
      <c r="O195" s="43"/>
      <c r="P195" s="43"/>
      <c r="Q195" s="43"/>
      <c r="R195" s="43"/>
      <c r="S195" s="43"/>
    </row>
    <row r="196" spans="2:20" hidden="1" outlineLevel="1" x14ac:dyDescent="0.2">
      <c r="B196" s="17"/>
      <c r="C196" s="17"/>
      <c r="D196" s="17"/>
      <c r="E196" s="17"/>
      <c r="F196" s="20"/>
      <c r="G196" s="20"/>
      <c r="H196" s="20"/>
      <c r="I196" s="17"/>
      <c r="J196" s="17"/>
      <c r="K196" s="17"/>
      <c r="L196" s="20"/>
      <c r="M196" s="43"/>
      <c r="N196" s="43"/>
      <c r="O196" s="43"/>
      <c r="P196" s="43"/>
      <c r="Q196" s="43"/>
      <c r="R196" s="43"/>
      <c r="S196" s="43"/>
    </row>
    <row r="197" spans="2:20" ht="14.25" hidden="1" outlineLevel="1" x14ac:dyDescent="0.25">
      <c r="B197" s="69"/>
      <c r="C197" s="69" t="s">
        <v>186</v>
      </c>
      <c r="D197" s="70"/>
      <c r="E197" s="70"/>
      <c r="F197" s="71">
        <f>SUM(F198:F200)</f>
        <v>0</v>
      </c>
      <c r="G197" s="71">
        <f>SUM(G198:G200)</f>
        <v>0</v>
      </c>
      <c r="H197" s="71">
        <f>SUM(H198:H200)</f>
        <v>0</v>
      </c>
      <c r="I197" s="70"/>
      <c r="J197" s="71">
        <f>F197+G197</f>
        <v>0</v>
      </c>
      <c r="K197" s="71">
        <f t="shared" ref="K197" si="40">SUM(F197:H197)</f>
        <v>0</v>
      </c>
      <c r="L197" s="76" t="s">
        <v>198</v>
      </c>
      <c r="M197" s="43"/>
      <c r="N197" s="43"/>
      <c r="O197" s="43"/>
      <c r="P197" s="43"/>
      <c r="Q197" s="43"/>
      <c r="R197" s="43"/>
      <c r="S197" s="43"/>
    </row>
    <row r="198" spans="2:20" ht="15.75" hidden="1" outlineLevel="1" x14ac:dyDescent="0.3">
      <c r="B198" s="17"/>
      <c r="C198" s="17"/>
      <c r="D198" s="17" t="s">
        <v>67</v>
      </c>
      <c r="E198" s="17"/>
      <c r="F198" s="38">
        <f>IF(NOT(ISBLANK('Referenz Pflasterwerk'!$I68)),'Referenz Pflasterwerk'!$I68,'Referenz Pflasterwerk'!$F68)*IF(NOT(ISBLANK('Eingabe EF'!$AA53)),'Eingabe EF'!$AA53,'Eingabe EF'!$Y53)</f>
        <v>0</v>
      </c>
      <c r="G198" s="38">
        <f>IF(NOT(ISBLANK('Referenz Pflasterwerk'!$I68)),'Referenz Pflasterwerk'!$I68,'Referenz Pflasterwerk'!$F68)*IF(NOT(ISBLANK('Eingabe EF'!$AE53)),'Eingabe EF'!$AE53,'Eingabe EF'!$AC53)</f>
        <v>0</v>
      </c>
      <c r="H198" s="38">
        <f>IF(NOT(ISBLANK('Referenz Pflasterwerk'!$I68)),'Referenz Pflasterwerk'!$I68,'Referenz Pflasterwerk'!$F68)*IF(NOT(ISBLANK('Eingabe EF'!$AI53)),'Eingabe EF'!$AI53,'Eingabe EF'!$AG53)</f>
        <v>0</v>
      </c>
      <c r="I198" s="17"/>
      <c r="J198" s="38">
        <f>F198+G198</f>
        <v>0</v>
      </c>
      <c r="K198" s="38">
        <f>SUM(F198:H198)</f>
        <v>0</v>
      </c>
      <c r="L198" s="17" t="s">
        <v>199</v>
      </c>
      <c r="M198" s="43"/>
      <c r="N198" s="43"/>
      <c r="O198" s="43"/>
      <c r="P198" s="43"/>
      <c r="Q198" s="43"/>
      <c r="R198" s="43"/>
      <c r="S198" s="43"/>
    </row>
    <row r="199" spans="2:20" ht="15.75" hidden="1" outlineLevel="1" x14ac:dyDescent="0.3">
      <c r="B199" s="17"/>
      <c r="C199" s="17"/>
      <c r="D199" s="17" t="s">
        <v>188</v>
      </c>
      <c r="E199" s="17"/>
      <c r="F199" s="38">
        <f>IF(NOT(ISBLANK('Referenz Pflasterwerk'!$I69)),'Referenz Pflasterwerk'!$I69,'Referenz Pflasterwerk'!$F69)*IF(NOT(ISBLANK('Eingabe EF'!$AA54)),'Eingabe EF'!$AA54,0)</f>
        <v>0</v>
      </c>
      <c r="G199" s="38">
        <f>IF(NOT(ISBLANK('Referenz Pflasterwerk'!$I69)),'Referenz Pflasterwerk'!$I69,'Referenz Pflasterwerk'!$F69)*IF(NOT(ISBLANK('Eingabe EF'!$AE54)),'Eingabe EF'!$AE54,0)</f>
        <v>0</v>
      </c>
      <c r="H199" s="38">
        <f>IF(NOT(ISBLANK('Referenz Pflasterwerk'!$I69)),'Referenz Pflasterwerk'!$I69,'Referenz Pflasterwerk'!$F69)*IF(NOT(ISBLANK('Eingabe EF'!$AI54)),'Eingabe EF'!$AI54,0)</f>
        <v>0</v>
      </c>
      <c r="I199" s="17"/>
      <c r="J199" s="38">
        <f t="shared" ref="J199:J200" si="41">F199+G199</f>
        <v>0</v>
      </c>
      <c r="K199" s="38">
        <f t="shared" ref="K199:K200" si="42">SUM(F199:H199)</f>
        <v>0</v>
      </c>
      <c r="L199" s="17" t="s">
        <v>199</v>
      </c>
      <c r="M199" s="43"/>
      <c r="N199" s="43"/>
      <c r="O199" s="43"/>
      <c r="P199" s="43"/>
      <c r="Q199" s="43"/>
      <c r="R199" s="43"/>
      <c r="S199" s="43"/>
    </row>
    <row r="200" spans="2:20" ht="15.75" hidden="1" outlineLevel="1" x14ac:dyDescent="0.3">
      <c r="B200" s="17"/>
      <c r="C200" s="17"/>
      <c r="D200" s="17" t="s">
        <v>187</v>
      </c>
      <c r="E200" s="17"/>
      <c r="F200" s="38">
        <f>IF(NOT(ISBLANK('Referenz Pflasterwerk'!$I70)),'Referenz Pflasterwerk'!$I70,'Referenz Pflasterwerk'!$F70)*IF(NOT(ISBLANK('Eingabe EF'!$AA55)),'Eingabe EF'!$AA55,0)</f>
        <v>0</v>
      </c>
      <c r="G200" s="38">
        <f>IF(NOT(ISBLANK('Referenz Pflasterwerk'!$I70)),'Referenz Pflasterwerk'!$I70,'Referenz Pflasterwerk'!$F70)*IF(NOT(ISBLANK('Eingabe EF'!$AE55)),'Eingabe EF'!$AE55,0)</f>
        <v>0</v>
      </c>
      <c r="H200" s="38">
        <f>IF(NOT(ISBLANK('Referenz Pflasterwerk'!$I70)),'Referenz Pflasterwerk'!$I70,'Referenz Pflasterwerk'!$F70)*IF(NOT(ISBLANK('Eingabe EF'!$AI55)),'Eingabe EF'!$AI55,0)</f>
        <v>0</v>
      </c>
      <c r="I200" s="17"/>
      <c r="J200" s="38">
        <f t="shared" si="41"/>
        <v>0</v>
      </c>
      <c r="K200" s="38">
        <f t="shared" si="42"/>
        <v>0</v>
      </c>
      <c r="L200" s="17" t="s">
        <v>199</v>
      </c>
      <c r="M200" s="43"/>
      <c r="N200" s="43"/>
      <c r="O200" s="43"/>
      <c r="P200" s="43"/>
      <c r="Q200" s="43"/>
      <c r="R200" s="43"/>
      <c r="S200" s="43"/>
    </row>
    <row r="201" spans="2:20" hidden="1" outlineLevel="1" x14ac:dyDescent="0.2">
      <c r="B201" s="17"/>
      <c r="C201" s="17"/>
      <c r="D201" s="17"/>
      <c r="E201" s="17"/>
      <c r="F201" s="20"/>
      <c r="G201" s="20"/>
      <c r="H201" s="20"/>
      <c r="I201" s="17"/>
      <c r="J201" s="17"/>
      <c r="K201" s="17"/>
      <c r="L201" s="20"/>
      <c r="M201" s="43"/>
      <c r="N201" s="43"/>
      <c r="O201" s="43"/>
      <c r="P201" s="43"/>
      <c r="Q201" s="43"/>
      <c r="R201" s="43"/>
      <c r="S201" s="43"/>
    </row>
    <row r="202" spans="2:20" ht="14.25" hidden="1" outlineLevel="1" x14ac:dyDescent="0.25">
      <c r="B202" s="17"/>
      <c r="C202" s="17"/>
      <c r="D202" s="21" t="s">
        <v>64</v>
      </c>
      <c r="E202" s="21"/>
      <c r="F202" s="74">
        <f>IF(NOT(ISBLANK('Referenz Pflasterwerk'!$I72)),'Referenz Pflasterwerk'!$I72,'Referenz Pflasterwerk'!$F72)*IF(NOT(ISBLANK('Eingabe EF'!$AA57)),'Eingabe EF'!$AA57,'Eingabe EF'!$Y57)</f>
        <v>0</v>
      </c>
      <c r="G202" s="74">
        <f>IF(NOT(ISBLANK('Referenz Pflasterwerk'!$I72)),'Referenz Pflasterwerk'!$I72,'Referenz Pflasterwerk'!$F72)*IF(NOT(ISBLANK('Eingabe EF'!$AE57)),'Eingabe EF'!$AE57,'Eingabe EF'!$AC57)</f>
        <v>0</v>
      </c>
      <c r="H202" s="74">
        <f>IF(NOT(ISBLANK('Referenz Pflasterwerk'!$I72)),'Referenz Pflasterwerk'!$I72,'Referenz Pflasterwerk'!$F72)*IF(NOT(ISBLANK('Eingabe EF'!$AI57)),'Eingabe EF'!$AI57,'Eingabe EF'!$AG57)</f>
        <v>161.20000000000002</v>
      </c>
      <c r="I202" s="21"/>
      <c r="J202" s="74">
        <f t="shared" ref="J202" si="43">F202+G202</f>
        <v>0</v>
      </c>
      <c r="K202" s="74">
        <f t="shared" ref="K202" si="44">SUM(F202:H202)</f>
        <v>161.20000000000002</v>
      </c>
      <c r="L202" s="21" t="s">
        <v>198</v>
      </c>
      <c r="M202" s="43"/>
      <c r="N202" s="43"/>
      <c r="O202" s="43"/>
      <c r="P202" s="43"/>
      <c r="Q202" s="43"/>
      <c r="R202" s="43"/>
      <c r="S202" s="43"/>
    </row>
    <row r="203" spans="2:20" hidden="1" outlineLevel="1" x14ac:dyDescent="0.2">
      <c r="B203" s="17"/>
      <c r="C203" s="17"/>
      <c r="D203" s="17"/>
      <c r="E203" s="17"/>
      <c r="F203" s="20"/>
      <c r="G203" s="20"/>
      <c r="H203" s="20"/>
      <c r="I203" s="17"/>
      <c r="J203" s="17"/>
      <c r="K203" s="17"/>
      <c r="L203" s="20"/>
      <c r="M203" s="43"/>
      <c r="N203" s="43"/>
      <c r="O203" s="43"/>
      <c r="P203" s="43"/>
      <c r="Q203" s="43"/>
      <c r="R203" s="43"/>
      <c r="S203" s="43"/>
    </row>
    <row r="204" spans="2:20" ht="15" hidden="1" outlineLevel="1" thickBot="1" x14ac:dyDescent="0.3">
      <c r="B204" s="17"/>
      <c r="C204" s="17"/>
      <c r="D204" s="67" t="s">
        <v>70</v>
      </c>
      <c r="E204" s="67"/>
      <c r="F204" s="68">
        <f>SUM(F147:F202)-F161-F165-F171-F178-F183-F192-F197</f>
        <v>106.60088015999999</v>
      </c>
      <c r="G204" s="68">
        <f>SUM(G147:G202)-G161-G165-G171-G178-G183-G192-G197</f>
        <v>180.40020135036377</v>
      </c>
      <c r="H204" s="68">
        <f>SUM(H147:H202)-H161-H165-H171-H178-H183-H192-H197</f>
        <v>10510.64046326266</v>
      </c>
      <c r="I204" s="21"/>
      <c r="J204" s="68">
        <f t="shared" ref="J204" si="45">SUM(J147:J202)-J161-J165-J171-J178-J183-J192-J197</f>
        <v>287.0010815103638</v>
      </c>
      <c r="K204" s="68">
        <f>SUM(K147:K202)-K161-K165-K171-K178-K183-K192-K197</f>
        <v>10797.641544773023</v>
      </c>
      <c r="L204" s="68" t="s">
        <v>198</v>
      </c>
      <c r="M204" s="43"/>
      <c r="N204" s="43"/>
      <c r="O204" s="43"/>
      <c r="P204" s="43"/>
      <c r="Q204" s="43"/>
      <c r="R204" s="43"/>
      <c r="S204" s="43"/>
    </row>
    <row r="205" spans="2:20" ht="13.5" hidden="1" outlineLevel="1" thickTop="1" x14ac:dyDescent="0.2">
      <c r="B205" s="17"/>
      <c r="C205" s="17"/>
      <c r="D205" s="17"/>
      <c r="E205" s="17"/>
      <c r="F205" s="20"/>
      <c r="G205" s="20"/>
      <c r="H205" s="20"/>
      <c r="I205" s="17"/>
      <c r="J205" s="17"/>
      <c r="K205" s="17"/>
      <c r="L205" s="20"/>
      <c r="M205" s="43"/>
      <c r="N205" s="43"/>
      <c r="O205" s="43"/>
      <c r="P205" s="43"/>
      <c r="Q205" s="43"/>
      <c r="R205" s="43"/>
      <c r="S205" s="43"/>
    </row>
    <row r="206" spans="2:20" collapsed="1" x14ac:dyDescent="0.2"/>
    <row r="208" spans="2:20" ht="15.75" hidden="1" outlineLevel="1" x14ac:dyDescent="0.25">
      <c r="B208" s="22"/>
      <c r="C208" s="22" t="s">
        <v>117</v>
      </c>
      <c r="D208" s="17"/>
      <c r="E208" s="17"/>
      <c r="F208" s="17"/>
      <c r="G208" s="17"/>
      <c r="H208" s="17"/>
      <c r="I208" s="17"/>
      <c r="J208" s="17"/>
      <c r="K208" s="17"/>
      <c r="L208" s="17"/>
      <c r="N208" s="22" t="s">
        <v>120</v>
      </c>
      <c r="O208" s="17"/>
      <c r="P208" s="17"/>
      <c r="Q208" s="17"/>
      <c r="R208" s="17"/>
      <c r="S208" s="17"/>
      <c r="T208" s="17"/>
    </row>
    <row r="209" spans="2:20" ht="15" hidden="1" outlineLevel="1" x14ac:dyDescent="0.25">
      <c r="B209" s="64"/>
      <c r="C209" s="64">
        <v>2030</v>
      </c>
      <c r="D209" s="25"/>
      <c r="E209" s="25"/>
      <c r="F209" s="25"/>
      <c r="G209" s="25"/>
      <c r="H209" s="25"/>
      <c r="I209" s="25"/>
      <c r="J209" s="25"/>
      <c r="K209" s="25"/>
      <c r="L209" s="25"/>
      <c r="N209" s="64">
        <v>2030</v>
      </c>
      <c r="O209" s="17"/>
      <c r="P209" s="17"/>
      <c r="Q209" s="17"/>
      <c r="R209" s="17"/>
      <c r="S209" s="17"/>
      <c r="T209" s="17"/>
    </row>
    <row r="210" spans="2:20" hidden="1" outlineLevel="1" x14ac:dyDescent="0.2">
      <c r="B210" s="17"/>
      <c r="C210" s="17"/>
      <c r="D210" s="17"/>
      <c r="E210" s="17" t="s">
        <v>40</v>
      </c>
      <c r="F210" s="17" t="s">
        <v>142</v>
      </c>
      <c r="G210" s="17" t="s">
        <v>252</v>
      </c>
      <c r="H210" s="17"/>
      <c r="I210" s="17"/>
      <c r="J210" s="17"/>
      <c r="K210" s="17"/>
      <c r="L210" s="17"/>
      <c r="N210" s="17"/>
      <c r="O210" s="17"/>
      <c r="P210" s="17"/>
      <c r="Q210" s="17"/>
      <c r="R210" s="17"/>
      <c r="S210" s="17"/>
      <c r="T210" s="17"/>
    </row>
    <row r="211" spans="2:20" hidden="1" outlineLevel="1" x14ac:dyDescent="0.2">
      <c r="B211" s="17"/>
      <c r="C211" s="17"/>
      <c r="D211" s="17" t="s">
        <v>251</v>
      </c>
      <c r="E211" s="311">
        <f>IF(NOT(ISBLANK($K$16)),$K$16,$I$16)</f>
        <v>100000</v>
      </c>
      <c r="F211" s="25"/>
      <c r="G211" s="25"/>
      <c r="H211" s="17" t="s">
        <v>43</v>
      </c>
      <c r="I211" s="17"/>
      <c r="J211" s="17"/>
      <c r="K211" s="17"/>
      <c r="L211" s="17"/>
      <c r="N211" s="17"/>
      <c r="O211" s="17"/>
      <c r="P211" s="17"/>
      <c r="Q211" s="17"/>
      <c r="R211" s="17"/>
      <c r="S211" s="17"/>
      <c r="T211" s="17"/>
    </row>
    <row r="212" spans="2:20" hidden="1" outlineLevel="1" x14ac:dyDescent="0.2">
      <c r="B212" s="17"/>
      <c r="C212" s="17"/>
      <c r="D212" s="17" t="s">
        <v>249</v>
      </c>
      <c r="E212" s="311">
        <f>IF(NOT(ISBLANK('Referenz Pflasterwerk'!$I$18)),'Referenz Pflasterwerk'!$I$18,'Referenz Pflasterwerk'!$F$18)</f>
        <v>150000</v>
      </c>
      <c r="F212" s="311">
        <f>IF(E211&lt;E212,E211,E212)</f>
        <v>100000</v>
      </c>
      <c r="G212" s="311">
        <f>IF(F212&lt;E212,E212-F212,0)</f>
        <v>50000</v>
      </c>
      <c r="H212" s="17" t="s">
        <v>43</v>
      </c>
      <c r="I212" s="17"/>
      <c r="J212" s="17"/>
      <c r="K212" s="17"/>
      <c r="L212" s="17"/>
      <c r="N212" s="17"/>
      <c r="O212" s="17"/>
      <c r="P212" s="17"/>
      <c r="Q212" s="17"/>
      <c r="R212" s="17"/>
      <c r="S212" s="17"/>
      <c r="T212" s="17"/>
    </row>
    <row r="213" spans="2:20" hidden="1" outlineLevel="1" x14ac:dyDescent="0.2">
      <c r="B213" s="17"/>
      <c r="C213" s="17"/>
      <c r="D213" s="17" t="s">
        <v>250</v>
      </c>
      <c r="E213" s="311">
        <f>IF(NOT(ISBLANK('Referenz Pflasterwerk'!$I$24)),'Referenz Pflasterwerk'!$I$24,'Referenz Pflasterwerk'!$F$24)</f>
        <v>600000</v>
      </c>
      <c r="F213" s="311">
        <f>IF(F212=E211,0,E211-F212)</f>
        <v>0</v>
      </c>
      <c r="G213" s="311">
        <f>IF(F213&lt;E213,E213-F213,0)</f>
        <v>600000</v>
      </c>
      <c r="H213" s="20" t="s">
        <v>43</v>
      </c>
      <c r="I213" s="17"/>
      <c r="J213" s="17"/>
      <c r="K213" s="17"/>
      <c r="L213" s="17"/>
      <c r="N213" s="17"/>
      <c r="O213" s="17"/>
      <c r="P213" s="17"/>
      <c r="Q213" s="17"/>
      <c r="R213" s="17"/>
      <c r="S213" s="17"/>
      <c r="T213" s="17"/>
    </row>
    <row r="214" spans="2:20" hidden="1" outlineLevel="1" x14ac:dyDescent="0.2">
      <c r="B214" s="17"/>
      <c r="C214" s="17"/>
      <c r="D214" s="17"/>
      <c r="E214" s="17"/>
      <c r="F214" s="17"/>
      <c r="G214" s="17"/>
      <c r="H214" s="17"/>
      <c r="I214" s="17"/>
      <c r="J214" s="17"/>
      <c r="K214" s="17"/>
      <c r="L214" s="17"/>
      <c r="N214" s="17"/>
      <c r="O214" s="17"/>
      <c r="P214" s="17"/>
      <c r="Q214" s="17"/>
      <c r="R214" s="17"/>
      <c r="S214" s="17"/>
      <c r="T214" s="17"/>
    </row>
    <row r="215" spans="2:20" ht="25.5" hidden="1" outlineLevel="1" x14ac:dyDescent="0.2">
      <c r="B215" s="17"/>
      <c r="C215" s="17"/>
      <c r="D215" s="17"/>
      <c r="E215" s="17"/>
      <c r="F215" s="36" t="s">
        <v>27</v>
      </c>
      <c r="G215" s="36" t="s">
        <v>85</v>
      </c>
      <c r="H215" s="36" t="s">
        <v>29</v>
      </c>
      <c r="I215" s="17"/>
      <c r="J215" s="40" t="s">
        <v>114</v>
      </c>
      <c r="K215" s="41" t="s">
        <v>40</v>
      </c>
      <c r="L215" s="17"/>
      <c r="N215" s="17"/>
      <c r="O215" s="17"/>
      <c r="P215" s="17"/>
      <c r="Q215" s="18"/>
      <c r="R215" s="17"/>
      <c r="S215" s="18"/>
      <c r="T215" s="18"/>
    </row>
    <row r="216" spans="2:20" ht="14.25" hidden="1" outlineLevel="1" x14ac:dyDescent="0.25">
      <c r="B216" s="76"/>
      <c r="C216" s="76" t="s">
        <v>191</v>
      </c>
      <c r="D216" s="76"/>
      <c r="E216" s="76"/>
      <c r="F216" s="77">
        <f>SUM(F218:F231)</f>
        <v>106.60088015999999</v>
      </c>
      <c r="G216" s="77">
        <f>SUM(G218:G231)</f>
        <v>88.909245888826362</v>
      </c>
      <c r="H216" s="77">
        <f>SUM(H218:H231)</f>
        <v>37.318188711241561</v>
      </c>
      <c r="I216" s="76"/>
      <c r="J216" s="77">
        <f>F216+G216</f>
        <v>195.51012604882635</v>
      </c>
      <c r="K216" s="77">
        <f>SUM(F216:H216)</f>
        <v>232.82831476006791</v>
      </c>
      <c r="L216" s="76" t="s">
        <v>198</v>
      </c>
      <c r="N216" s="17"/>
      <c r="O216" s="17"/>
      <c r="P216" s="17"/>
      <c r="Q216" s="18"/>
      <c r="R216" s="17"/>
      <c r="S216" s="18"/>
      <c r="T216" s="18"/>
    </row>
    <row r="217" spans="2:20" hidden="1" outlineLevel="1" x14ac:dyDescent="0.2">
      <c r="B217" s="17"/>
      <c r="C217" s="17" t="s">
        <v>148</v>
      </c>
      <c r="D217" s="17"/>
      <c r="E217" s="17"/>
      <c r="F217" s="17"/>
      <c r="G217" s="17"/>
      <c r="H217" s="17"/>
      <c r="I217" s="17"/>
      <c r="J217" s="17"/>
      <c r="K217" s="17"/>
      <c r="L217" s="17"/>
      <c r="N217" s="17" t="s">
        <v>148</v>
      </c>
      <c r="O217" s="17"/>
      <c r="P217" s="17"/>
      <c r="Q217" s="18"/>
      <c r="R217" s="17"/>
      <c r="S217" s="18"/>
      <c r="T217" s="18"/>
    </row>
    <row r="218" spans="2:20" ht="15.75" hidden="1" outlineLevel="1" x14ac:dyDescent="0.3">
      <c r="B218" s="302"/>
      <c r="C218" s="17"/>
      <c r="D218" s="17" t="s">
        <v>128</v>
      </c>
      <c r="E218" s="17"/>
      <c r="F218" s="38">
        <f>IF(NOT(ISBLANK('Referenz Pflasterwerk'!$I16)),'Referenz Pflasterwerk'!$I16,'Referenz Pflasterwerk'!$F16)*IF(NOT(ISBLANK('Eingabe EF'!$AS9)),'Eingabe EF'!$AS9,'Eingabe EF'!$AQ9)</f>
        <v>1.6484399999999999</v>
      </c>
      <c r="G218" s="38">
        <f>IF(NOT(ISBLANK('Referenz Pflasterwerk'!$I16)),'Referenz Pflasterwerk'!$I16,'Referenz Pflasterwerk'!$F16)*IF(NOT(ISBLANK('Eingabe EF'!$AW9)),'Eingabe EF'!$AW9,'Eingabe EF'!$AU9)</f>
        <v>0</v>
      </c>
      <c r="H218" s="38">
        <f>IF(NOT(ISBLANK('Referenz Pflasterwerk'!$I16)),'Referenz Pflasterwerk'!$I16,'Referenz Pflasterwerk'!$F16)*IF(NOT(ISBLANK('Eingabe EF'!$BA9)),'Eingabe EF'!$BA9,'Eingabe EF'!$AY9)</f>
        <v>0.28215000000000001</v>
      </c>
      <c r="I218" s="17"/>
      <c r="J218" s="38">
        <f>F218+G218</f>
        <v>1.6484399999999999</v>
      </c>
      <c r="K218" s="38">
        <f>SUM(F218:H218)</f>
        <v>1.93059</v>
      </c>
      <c r="L218" s="17" t="s">
        <v>199</v>
      </c>
      <c r="N218" s="302"/>
      <c r="O218" s="17" t="s">
        <v>128</v>
      </c>
      <c r="P218" s="17"/>
      <c r="Q218" s="19"/>
      <c r="R218" s="17"/>
      <c r="S218" s="42">
        <f>IF(NOT(ISBLANK('Referenz Pflasterwerk'!$I16)),'Referenz Pflasterwerk'!$I16,'Referenz Pflasterwerk'!$F16)/1000*IF(NOT(ISBLANK('Eingabe Preise'!$O10)),'Eingabe Preise'!$O10,'Eingabe Preise'!$M10)</f>
        <v>549</v>
      </c>
      <c r="T218" s="20" t="s">
        <v>109</v>
      </c>
    </row>
    <row r="219" spans="2:20" ht="15.75" hidden="1" outlineLevel="1" x14ac:dyDescent="0.3">
      <c r="B219" s="302"/>
      <c r="C219" s="17"/>
      <c r="D219" s="17" t="s">
        <v>166</v>
      </c>
      <c r="E219" s="17"/>
      <c r="F219" s="38">
        <f>IF(NOT(ISBLANK('Referenz Pflasterwerk'!$I17)),'Referenz Pflasterwerk'!$I17,'Referenz Pflasterwerk'!$F17)*IF(NOT(ISBLANK('Eingabe EF'!$AS10)),'Eingabe EF'!$AS10,'Eingabe EF'!$AQ10)</f>
        <v>0.53351999999999999</v>
      </c>
      <c r="G219" s="38">
        <f>IF(NOT(ISBLANK('Referenz Pflasterwerk'!$I17)),'Referenz Pflasterwerk'!$I17,'Referenz Pflasterwerk'!$F17)*IF(NOT(ISBLANK('Eingabe EF'!$AW10)),'Eingabe EF'!$AW10,'Eingabe EF'!$AU10)</f>
        <v>0</v>
      </c>
      <c r="H219" s="38">
        <f>IF(NOT(ISBLANK('Referenz Pflasterwerk'!$I17)),'Referenz Pflasterwerk'!$I17,'Referenz Pflasterwerk'!$F17)*IF(NOT(ISBLANK('Eingabe EF'!$BA10)),'Eingabe EF'!$BA10,'Eingabe EF'!$AY10)</f>
        <v>7.9152E-2</v>
      </c>
      <c r="I219" s="17"/>
      <c r="J219" s="38">
        <f>F219+G219</f>
        <v>0.53351999999999999</v>
      </c>
      <c r="K219" s="38">
        <f>SUM(F219:H219)</f>
        <v>0.61267199999999999</v>
      </c>
      <c r="L219" s="17" t="s">
        <v>199</v>
      </c>
      <c r="N219" s="302"/>
      <c r="O219" s="17" t="s">
        <v>166</v>
      </c>
      <c r="P219" s="17"/>
      <c r="Q219" s="20"/>
      <c r="R219" s="17"/>
      <c r="S219" s="42">
        <f>IF(NOT(ISBLANK('Referenz Pflasterwerk'!$I17)),'Referenz Pflasterwerk'!$I17,'Referenz Pflasterwerk'!$F17)/1000*IF(NOT(ISBLANK('Eingabe Preise'!$O11)),'Eingabe Preise'!$O11,'Eingabe Preise'!$M11)</f>
        <v>92</v>
      </c>
      <c r="T219" s="20" t="s">
        <v>109</v>
      </c>
    </row>
    <row r="220" spans="2:20" ht="15.75" hidden="1" outlineLevel="1" x14ac:dyDescent="0.3">
      <c r="B220" s="312"/>
      <c r="C220" s="17"/>
      <c r="D220" s="17" t="s">
        <v>154</v>
      </c>
      <c r="E220" s="17"/>
      <c r="F220" s="38">
        <f>G212*IF(NOT(ISBLANK('Eingabe EF'!$AS11)),'Eingabe EF'!$AS11,'Eingabe EF'!$AQ11)+F212*IF(NOT(ISBLANK('Eingabe EF'!$AS61)),'Eingabe EF'!$AS61,'Eingabe EF'!$AQ61)</f>
        <v>0</v>
      </c>
      <c r="G220" s="38">
        <f>G212*IF(NOT(ISBLANK('Eingabe EF'!$AW$11)),'Eingabe EF'!$AW$11,'Eingabe EF'!$AU$11)+F212*IF(NOT(ISBLANK('Eingabe EF'!$AW$61)),'Eingabe EF'!$AW$61,'Eingabe EF'!$AU$61)</f>
        <v>6.8391727606789505</v>
      </c>
      <c r="H220" s="38">
        <f>G212*IF(NOT(ISBLANK('Eingabe EF'!$BA$11)),'Eingabe EF'!$BA$11,'Eingabe EF'!$AY$11)+F212*IF(NOT(ISBLANK('Eingabe EF'!$BA$61)),'Eingabe EF'!$BA$61,'Eingabe EF'!$AY$61)</f>
        <v>6.5740012424031971</v>
      </c>
      <c r="I220" s="17"/>
      <c r="J220" s="38">
        <f>F220+G220</f>
        <v>6.8391727606789505</v>
      </c>
      <c r="K220" s="38">
        <f>SUM(F220:H220)</f>
        <v>13.413174003082148</v>
      </c>
      <c r="L220" s="17" t="s">
        <v>199</v>
      </c>
      <c r="N220" s="312"/>
      <c r="O220" s="17" t="s">
        <v>154</v>
      </c>
      <c r="P220" s="17"/>
      <c r="Q220" s="20"/>
      <c r="R220" s="17"/>
      <c r="S220" s="42">
        <f>G212/1000*IF(NOT(ISBLANK('Eingabe Preise'!$O12)),'Eingabe Preise'!$O12,'Eingabe Preise'!$M12)</f>
        <v>8600</v>
      </c>
      <c r="T220" s="20" t="s">
        <v>109</v>
      </c>
    </row>
    <row r="221" spans="2:20" ht="15.75" hidden="1" outlineLevel="1" x14ac:dyDescent="0.3">
      <c r="B221" s="302"/>
      <c r="C221" s="17"/>
      <c r="D221" s="17" t="s">
        <v>129</v>
      </c>
      <c r="E221" s="17"/>
      <c r="F221" s="44">
        <f>IF(NOT(ISBLANK('Referenz Pflasterwerk'!$I19)),'Referenz Pflasterwerk'!$I19,'Referenz Pflasterwerk'!$F19)*IF(NOT(ISBLANK('Eingabe EF'!$AS12)),'Eingabe EF'!$AS12,0)</f>
        <v>0</v>
      </c>
      <c r="G221" s="44">
        <f>IF(NOT(ISBLANK('Referenz Pflasterwerk'!$I19)),'Referenz Pflasterwerk'!$I19,'Referenz Pflasterwerk'!$F19)*IF(NOT(ISBLANK('Eingabe EF'!$AW12)),'Eingabe EF'!$AW12,0)</f>
        <v>0</v>
      </c>
      <c r="H221" s="44">
        <f>IF(NOT(ISBLANK('Referenz Pflasterwerk'!$I19)),'Referenz Pflasterwerk'!$I19,'Referenz Pflasterwerk'!$F19)*IF(NOT(ISBLANK('Eingabe EF'!$BA12)),'Eingabe EF'!$BA12,0)</f>
        <v>0</v>
      </c>
      <c r="I221" s="17"/>
      <c r="J221" s="38">
        <f>F221+G221</f>
        <v>0</v>
      </c>
      <c r="K221" s="38">
        <f>SUM(F221:H221)</f>
        <v>0</v>
      </c>
      <c r="L221" s="17" t="s">
        <v>199</v>
      </c>
      <c r="N221" s="302"/>
      <c r="O221" s="17" t="s">
        <v>129</v>
      </c>
      <c r="P221" s="17"/>
      <c r="Q221" s="20"/>
      <c r="R221" s="17"/>
      <c r="S221" s="42">
        <f>IF(NOT(ISBLANK('Referenz Pflasterwerk'!$I19)),'Referenz Pflasterwerk'!$I19,'Referenz Pflasterwerk'!$F19)/1000*IF(NOT(ISBLANK('Eingabe Preise'!$O16)),'Eingabe Preise'!$O16,0)</f>
        <v>0</v>
      </c>
      <c r="T221" s="20" t="s">
        <v>109</v>
      </c>
    </row>
    <row r="222" spans="2:20" hidden="1" outlineLevel="1" x14ac:dyDescent="0.2">
      <c r="B222" s="17"/>
      <c r="C222" s="17" t="s">
        <v>149</v>
      </c>
      <c r="D222" s="17"/>
      <c r="E222" s="17"/>
      <c r="F222" s="17"/>
      <c r="G222" s="17"/>
      <c r="H222" s="17"/>
      <c r="I222" s="17"/>
      <c r="J222" s="17"/>
      <c r="K222" s="17"/>
      <c r="L222" s="17"/>
      <c r="N222" s="17" t="s">
        <v>149</v>
      </c>
      <c r="O222" s="17"/>
      <c r="P222" s="17"/>
      <c r="Q222" s="20"/>
      <c r="R222" s="17"/>
      <c r="S222" s="20"/>
      <c r="T222" s="20"/>
    </row>
    <row r="223" spans="2:20" ht="15.75" hidden="1" outlineLevel="1" x14ac:dyDescent="0.3">
      <c r="B223" s="17"/>
      <c r="C223" s="17"/>
      <c r="D223" s="17" t="s">
        <v>32</v>
      </c>
      <c r="E223" s="17"/>
      <c r="F223" s="44">
        <f>IF(NOT(ISBLANK('Referenz Pflasterwerk'!$I21)),'Referenz Pflasterwerk'!$I21,'Referenz Pflasterwerk'!$F21)*IF(NOT(ISBLANK('Eingabe EF'!$AS9)),'Eingabe EF'!$AS9,'Eingabe EF'!$AQ9)</f>
        <v>6.5937599999999996</v>
      </c>
      <c r="G223" s="44">
        <f>IF(NOT(ISBLANK('Referenz Pflasterwerk'!$I21)),'Referenz Pflasterwerk'!$I21,'Referenz Pflasterwerk'!$F21)*IF(NOT(ISBLANK('Eingabe EF'!$AW9)),'Eingabe EF'!$AW9,'Eingabe EF'!$AU9)</f>
        <v>0</v>
      </c>
      <c r="H223" s="44">
        <f>IF(NOT(ISBLANK('Referenz Pflasterwerk'!$I21)),'Referenz Pflasterwerk'!$I21,'Referenz Pflasterwerk'!$F21)*IF(NOT(ISBLANK('Eingabe EF'!$BA9)),'Eingabe EF'!$BA9,'Eingabe EF'!$AY9)</f>
        <v>1.1286</v>
      </c>
      <c r="I223" s="17"/>
      <c r="J223" s="38">
        <f t="shared" ref="J223:J224" si="46">F223+G223</f>
        <v>6.5937599999999996</v>
      </c>
      <c r="K223" s="38">
        <f t="shared" ref="K223:K224" si="47">SUM(F223:H223)</f>
        <v>7.7223600000000001</v>
      </c>
      <c r="L223" s="17" t="s">
        <v>199</v>
      </c>
      <c r="N223" s="17"/>
      <c r="O223" s="17" t="s">
        <v>32</v>
      </c>
      <c r="P223" s="17"/>
      <c r="Q223" s="20"/>
      <c r="R223" s="17"/>
      <c r="S223" s="42">
        <f>IF(NOT(ISBLANK('Referenz Pflasterwerk'!$I21)),'Referenz Pflasterwerk'!$I21,'Referenz Pflasterwerk'!$F21)/1000*IF(NOT(ISBLANK('Eingabe Preise'!$O10)),'Eingabe Preise'!$O10,'Eingabe Preise'!$M10)</f>
        <v>2196</v>
      </c>
      <c r="T223" s="20" t="s">
        <v>109</v>
      </c>
    </row>
    <row r="224" spans="2:20" ht="15.75" hidden="1" outlineLevel="1" x14ac:dyDescent="0.3">
      <c r="B224" s="17"/>
      <c r="C224" s="17"/>
      <c r="D224" s="17" t="s">
        <v>33</v>
      </c>
      <c r="E224" s="17"/>
      <c r="F224" s="44">
        <f>IF(NOT(ISBLANK('Referenz Pflasterwerk'!$I22)),'Referenz Pflasterwerk'!$I22,'Referenz Pflasterwerk'!$F22)*IF(NOT(ISBLANK('Eingabe EF'!$AS10)),'Eingabe EF'!$AS10,'Eingabe EF'!$AQ10)</f>
        <v>2.13408</v>
      </c>
      <c r="G224" s="44">
        <f>IF(NOT(ISBLANK('Referenz Pflasterwerk'!$I22)),'Referenz Pflasterwerk'!$I22,'Referenz Pflasterwerk'!$F22)*IF(NOT(ISBLANK('Eingabe EF'!$AW10)),'Eingabe EF'!$AW10,'Eingabe EF'!$AU10)</f>
        <v>0</v>
      </c>
      <c r="H224" s="44">
        <f>IF(NOT(ISBLANK('Referenz Pflasterwerk'!$I22)),'Referenz Pflasterwerk'!$I22,'Referenz Pflasterwerk'!$F22)*IF(NOT(ISBLANK('Eingabe EF'!$BA10)),'Eingabe EF'!$BA10,'Eingabe EF'!$AY10)</f>
        <v>0.316608</v>
      </c>
      <c r="I224" s="17"/>
      <c r="J224" s="38">
        <f t="shared" si="46"/>
        <v>2.13408</v>
      </c>
      <c r="K224" s="38">
        <f t="shared" si="47"/>
        <v>2.450688</v>
      </c>
      <c r="L224" s="17" t="s">
        <v>199</v>
      </c>
      <c r="N224" s="17"/>
      <c r="O224" s="17" t="s">
        <v>33</v>
      </c>
      <c r="P224" s="17"/>
      <c r="Q224" s="20"/>
      <c r="R224" s="17"/>
      <c r="S224" s="42">
        <f>IF(NOT(ISBLANK('Referenz Pflasterwerk'!$I22)),'Referenz Pflasterwerk'!$I22,'Referenz Pflasterwerk'!$F22)/1000*IF(NOT(ISBLANK('Eingabe Preise'!$O11)),'Eingabe Preise'!$O11,'Eingabe Preise'!$M11)</f>
        <v>368</v>
      </c>
      <c r="T224" s="20" t="s">
        <v>109</v>
      </c>
    </row>
    <row r="225" spans="2:20" hidden="1" outlineLevel="1" x14ac:dyDescent="0.2">
      <c r="B225" s="17"/>
      <c r="C225" s="17" t="s">
        <v>150</v>
      </c>
      <c r="D225" s="17"/>
      <c r="E225" s="17"/>
      <c r="F225" s="17"/>
      <c r="G225" s="17"/>
      <c r="H225" s="17"/>
      <c r="I225" s="17"/>
      <c r="J225" s="17"/>
      <c r="K225" s="17"/>
      <c r="L225" s="17"/>
      <c r="N225" s="17" t="s">
        <v>150</v>
      </c>
      <c r="O225" s="17"/>
      <c r="P225" s="17"/>
      <c r="Q225" s="20"/>
      <c r="R225" s="17"/>
      <c r="S225" s="20"/>
      <c r="T225" s="20"/>
    </row>
    <row r="226" spans="2:20" ht="15.75" hidden="1" outlineLevel="1" x14ac:dyDescent="0.3">
      <c r="B226" s="312"/>
      <c r="C226" s="17"/>
      <c r="D226" s="17" t="s">
        <v>152</v>
      </c>
      <c r="E226" s="17"/>
      <c r="F226" s="44">
        <f>G213*IF(NOT(ISBLANK('Eingabe EF'!$AS11)),'Eingabe EF'!$AS11,'Eingabe EF'!$AQ11)+F213*IF(NOT(ISBLANK('Eingabe EF'!$AS61)),'Eingabe EF'!$AS61,'Eingabe EF'!$AQ61)</f>
        <v>0</v>
      </c>
      <c r="G226" s="38">
        <f>G213*IF(NOT(ISBLANK('Eingabe EF'!$AW$11)),'Eingabe EF'!$AW$11,'Eingabe EF'!$AU$11)+F213*IF(NOT(ISBLANK('Eingabe EF'!$AW$61)),'Eingabe EF'!$AW$61,'Eingabe EF'!$AU$61)</f>
        <v>82.070073128147413</v>
      </c>
      <c r="H226" s="38">
        <f>G213*IF(NOT(ISBLANK('Eingabe EF'!$BA$11)),'Eingabe EF'!$BA$11,'Eingabe EF'!$AY$11)+F213*IF(NOT(ISBLANK('Eingabe EF'!$BA$61)),'Eingabe EF'!$BA$61,'Eingabe EF'!$AY$61)</f>
        <v>12.031214908838363</v>
      </c>
      <c r="I226" s="17"/>
      <c r="J226" s="38">
        <f t="shared" ref="J226:J234" si="48">F226+G226</f>
        <v>82.070073128147413</v>
      </c>
      <c r="K226" s="38">
        <f t="shared" ref="K226:K234" si="49">SUM(F226:H226)</f>
        <v>94.101288036985778</v>
      </c>
      <c r="L226" s="17" t="s">
        <v>199</v>
      </c>
      <c r="N226" s="312"/>
      <c r="O226" s="17" t="s">
        <v>152</v>
      </c>
      <c r="P226" s="17"/>
      <c r="Q226" s="20"/>
      <c r="R226" s="17"/>
      <c r="S226" s="42">
        <f>G213/1000*IF(NOT(ISBLANK('Eingabe Preise'!$O12)),'Eingabe Preise'!$O12,'Eingabe Preise'!$M12)</f>
        <v>103200</v>
      </c>
      <c r="T226" s="20" t="s">
        <v>109</v>
      </c>
    </row>
    <row r="227" spans="2:20" ht="15.75" hidden="1" outlineLevel="1" x14ac:dyDescent="0.3">
      <c r="B227" s="17"/>
      <c r="C227" s="17"/>
      <c r="D227" s="17" t="s">
        <v>125</v>
      </c>
      <c r="E227" s="17"/>
      <c r="F227" s="44">
        <f>IF(NOT(ISBLANK('Referenz Pflasterwerk'!$I25)),'Referenz Pflasterwerk'!$I25,'Referenz Pflasterwerk'!$F25)*IF(NOT(ISBLANK('Eingabe EF'!$AS13)),'Eingabe EF'!$AS13,'Eingabe EF'!$AQ13)</f>
        <v>0</v>
      </c>
      <c r="G227" s="44">
        <f>IF(NOT(ISBLANK('Referenz Pflasterwerk'!$I25)),'Referenz Pflasterwerk'!$I25,'Referenz Pflasterwerk'!$F25)*IF(NOT(ISBLANK('Eingabe EF'!$AW13)),'Eingabe EF'!$AW13,'Eingabe EF'!$AU13)</f>
        <v>0</v>
      </c>
      <c r="H227" s="44">
        <f>IF(NOT(ISBLANK('Referenz Pflasterwerk'!$I25)),'Referenz Pflasterwerk'!$I25,'Referenz Pflasterwerk'!$F25)*IF(NOT(ISBLANK('Eingabe EF'!$BA13)),'Eingabe EF'!$BA13,'Eingabe EF'!$AY13)</f>
        <v>0</v>
      </c>
      <c r="I227" s="17"/>
      <c r="J227" s="38">
        <f t="shared" si="48"/>
        <v>0</v>
      </c>
      <c r="K227" s="38">
        <f t="shared" si="49"/>
        <v>0</v>
      </c>
      <c r="L227" s="17" t="s">
        <v>199</v>
      </c>
      <c r="N227" s="17"/>
      <c r="O227" s="17" t="s">
        <v>125</v>
      </c>
      <c r="P227" s="17"/>
      <c r="Q227" s="20"/>
      <c r="R227" s="17"/>
      <c r="S227" s="42">
        <f>IF(NOT(ISBLANK('Referenz Pflasterwerk'!$I25)),'Referenz Pflasterwerk'!$I25,'Referenz Pflasterwerk'!$F25)/1000*IF(NOT(ISBLANK('Eingabe Preise'!$O13)),'Eingabe Preise'!$O13,'Eingabe Preise'!$M13)</f>
        <v>0</v>
      </c>
      <c r="T227" s="20" t="s">
        <v>109</v>
      </c>
    </row>
    <row r="228" spans="2:20" ht="15.75" hidden="1" outlineLevel="1" x14ac:dyDescent="0.3">
      <c r="B228" s="17"/>
      <c r="C228" s="17"/>
      <c r="D228" s="17" t="s">
        <v>151</v>
      </c>
      <c r="E228" s="17"/>
      <c r="F228" s="44">
        <f>IF(NOT(ISBLANK('Referenz Pflasterwerk'!$I26)),'Referenz Pflasterwerk'!$I26,'Referenz Pflasterwerk'!$F26)*IF(NOT(ISBLANK('Eingabe EF'!$AS14)),'Eingabe EF'!$AS14,0)</f>
        <v>0</v>
      </c>
      <c r="G228" s="44">
        <f>IF(NOT(ISBLANK('Referenz Pflasterwerk'!$I26)),'Referenz Pflasterwerk'!$I26,'Referenz Pflasterwerk'!$F26)*IF(NOT(ISBLANK('Eingabe EF'!$AW14)),'Eingabe EF'!$AW14,0)</f>
        <v>0</v>
      </c>
      <c r="H228" s="44">
        <f>IF(NOT(ISBLANK('Referenz Pflasterwerk'!$I26)),'Referenz Pflasterwerk'!$I26,'Referenz Pflasterwerk'!$F26)*IF(NOT(ISBLANK('Eingabe EF'!$BA14)),'Eingabe EF'!$BA14,0)</f>
        <v>0</v>
      </c>
      <c r="I228" s="17"/>
      <c r="J228" s="38">
        <f t="shared" si="48"/>
        <v>0</v>
      </c>
      <c r="K228" s="38">
        <f t="shared" si="49"/>
        <v>0</v>
      </c>
      <c r="L228" s="17" t="s">
        <v>199</v>
      </c>
      <c r="N228" s="17"/>
      <c r="O228" s="17" t="s">
        <v>151</v>
      </c>
      <c r="P228" s="17"/>
      <c r="Q228" s="30"/>
      <c r="R228" s="17"/>
      <c r="S228" s="42">
        <f>IF(NOT(ISBLANK('Referenz Pflasterwerk'!$I26)),'Referenz Pflasterwerk'!$I26,'Referenz Pflasterwerk'!$F26)/1000*IF(NOT(ISBLANK('Eingabe Preise'!$O17)),'Eingabe Preise'!$O17,0)</f>
        <v>0</v>
      </c>
      <c r="T228" s="20" t="s">
        <v>109</v>
      </c>
    </row>
    <row r="229" spans="2:20" hidden="1" outlineLevel="1" x14ac:dyDescent="0.2">
      <c r="B229" s="17"/>
      <c r="C229" s="17"/>
      <c r="D229" s="17"/>
      <c r="E229" s="17"/>
      <c r="F229" s="17"/>
      <c r="G229" s="17"/>
      <c r="H229" s="17"/>
      <c r="I229" s="17"/>
      <c r="J229" s="17"/>
      <c r="K229" s="17"/>
      <c r="L229" s="17"/>
      <c r="N229" s="17"/>
      <c r="O229" s="17"/>
      <c r="P229" s="17"/>
      <c r="Q229" s="30"/>
      <c r="R229" s="17"/>
      <c r="S229" s="17"/>
      <c r="T229" s="17"/>
    </row>
    <row r="230" spans="2:20" ht="15.75" hidden="1" outlineLevel="1" x14ac:dyDescent="0.3">
      <c r="B230" s="17"/>
      <c r="C230" s="17" t="s">
        <v>78</v>
      </c>
      <c r="D230" s="17" t="s">
        <v>35</v>
      </c>
      <c r="E230" s="17"/>
      <c r="F230" s="44">
        <f>IF(NOT(ISBLANK('Referenz Pflasterwerk'!$I28)),'Referenz Pflasterwerk'!$I28,'Referenz Pflasterwerk'!$F28)*IF(NOT(ISBLANK('Eingabe EF'!$AS15)),'Eingabe EF'!$AS15,'Eingabe EF'!$AQ15)</f>
        <v>85.058737919999984</v>
      </c>
      <c r="G230" s="44">
        <f>IF(NOT(ISBLANK('Referenz Pflasterwerk'!$I28)),'Referenz Pflasterwerk'!$I28,'Referenz Pflasterwerk'!$F28)*IF(NOT(ISBLANK('Eingabe EF'!$AW15)),'Eingabe EF'!$AW15,'Eingabe EF'!$AU15)</f>
        <v>0</v>
      </c>
      <c r="H230" s="44">
        <f>IF(NOT(ISBLANK('Referenz Pflasterwerk'!$I28)),'Referenz Pflasterwerk'!$I28,'Referenz Pflasterwerk'!$F28)*IF(NOT(ISBLANK('Eingabe EF'!$BA15)),'Eingabe EF'!$BA15,'Eingabe EF'!$AY15)</f>
        <v>15.027966720000002</v>
      </c>
      <c r="I230" s="17"/>
      <c r="J230" s="38">
        <f t="shared" ref="J230:J232" si="50">F230+G230</f>
        <v>85.058737919999984</v>
      </c>
      <c r="K230" s="38">
        <f t="shared" ref="K230:K232" si="51">SUM(F230:H230)</f>
        <v>100.08670463999999</v>
      </c>
      <c r="L230" s="17" t="s">
        <v>199</v>
      </c>
      <c r="N230" s="17"/>
      <c r="O230" s="17" t="s">
        <v>35</v>
      </c>
      <c r="P230" s="17" t="s">
        <v>78</v>
      </c>
      <c r="Q230" s="30"/>
      <c r="R230" s="17"/>
      <c r="S230" s="42">
        <f>IF(NOT(ISBLANK('Referenz Pflasterwerk'!$I28)),'Referenz Pflasterwerk'!$I28,'Referenz Pflasterwerk'!$F28)*IF(NOT(ISBLANK('Eingabe Preise'!$O14)),'Eingabe Preise'!$O14,'Eingabe Preise'!$M14)</f>
        <v>35968</v>
      </c>
      <c r="T230" s="20" t="s">
        <v>109</v>
      </c>
    </row>
    <row r="231" spans="2:20" ht="15.75" hidden="1" outlineLevel="1" x14ac:dyDescent="0.3">
      <c r="B231" s="17"/>
      <c r="C231" s="17" t="s">
        <v>77</v>
      </c>
      <c r="D231" s="17" t="s">
        <v>35</v>
      </c>
      <c r="E231" s="17"/>
      <c r="F231" s="44">
        <f>IF(NOT(ISBLANK('Referenz Pflasterwerk'!$I29)),'Referenz Pflasterwerk'!$I29,'Referenz Pflasterwerk'!$F29)*IF(NOT(ISBLANK('Eingabe EF'!$AS15)),'Eingabe EF'!$AS15,'Eingabe EF'!$AQ15)</f>
        <v>10.632342239999998</v>
      </c>
      <c r="G231" s="44">
        <f>IF(NOT(ISBLANK('Referenz Pflasterwerk'!$I29)),'Referenz Pflasterwerk'!$I29,'Referenz Pflasterwerk'!$F29)*IF(NOT(ISBLANK('Eingabe EF'!$AW15)),'Eingabe EF'!$AW15,'Eingabe EF'!$AU15)</f>
        <v>0</v>
      </c>
      <c r="H231" s="44">
        <f>IF(NOT(ISBLANK('Referenz Pflasterwerk'!$I29)),'Referenz Pflasterwerk'!$I29,'Referenz Pflasterwerk'!$F29)*IF(NOT(ISBLANK('Eingabe EF'!$BA15)),'Eingabe EF'!$BA15,'Eingabe EF'!$AY15)</f>
        <v>1.8784958400000002</v>
      </c>
      <c r="I231" s="17"/>
      <c r="J231" s="38">
        <f t="shared" si="50"/>
        <v>10.632342239999998</v>
      </c>
      <c r="K231" s="38">
        <f t="shared" si="51"/>
        <v>12.510838079999999</v>
      </c>
      <c r="L231" s="17" t="s">
        <v>199</v>
      </c>
      <c r="N231" s="17"/>
      <c r="O231" s="17" t="s">
        <v>35</v>
      </c>
      <c r="P231" s="17" t="s">
        <v>77</v>
      </c>
      <c r="Q231" s="30"/>
      <c r="R231" s="17"/>
      <c r="S231" s="42">
        <f>IF(NOT(ISBLANK('Referenz Pflasterwerk'!$I29)),'Referenz Pflasterwerk'!$I29,'Referenz Pflasterwerk'!$F29)*IF(NOT(ISBLANK('Eingabe Preise'!$O14)),'Eingabe Preise'!$O14,'Eingabe Preise'!$M14)</f>
        <v>4496</v>
      </c>
      <c r="T231" s="20" t="s">
        <v>109</v>
      </c>
    </row>
    <row r="232" spans="2:20" ht="14.25" hidden="1" outlineLevel="1" x14ac:dyDescent="0.25">
      <c r="B232" s="69"/>
      <c r="C232" s="69" t="s">
        <v>190</v>
      </c>
      <c r="D232" s="69"/>
      <c r="E232" s="69"/>
      <c r="F232" s="71">
        <f>F233+F234</f>
        <v>0</v>
      </c>
      <c r="G232" s="71">
        <f t="shared" ref="G232:H232" si="52">G233+G234</f>
        <v>0</v>
      </c>
      <c r="H232" s="71">
        <f t="shared" si="52"/>
        <v>578.62626120000004</v>
      </c>
      <c r="I232" s="69"/>
      <c r="J232" s="71">
        <f t="shared" si="50"/>
        <v>0</v>
      </c>
      <c r="K232" s="71">
        <f t="shared" si="51"/>
        <v>578.62626120000004</v>
      </c>
      <c r="L232" s="76" t="s">
        <v>198</v>
      </c>
      <c r="N232" s="17"/>
      <c r="O232" s="17"/>
      <c r="P232" s="17"/>
      <c r="Q232" s="30"/>
      <c r="R232" s="17"/>
      <c r="S232" s="17"/>
      <c r="T232" s="17"/>
    </row>
    <row r="233" spans="2:20" ht="15.75" hidden="1" outlineLevel="1" x14ac:dyDescent="0.3">
      <c r="B233" s="17"/>
      <c r="C233" s="17"/>
      <c r="D233" s="17" t="s">
        <v>46</v>
      </c>
      <c r="E233" s="17"/>
      <c r="F233" s="44">
        <f>IF(NOT(ISBLANK('Referenz Pflasterwerk'!$I32)),'Referenz Pflasterwerk'!$I32,'Referenz Pflasterwerk'!$F32)*IF(NOT(ISBLANK('Eingabe EF'!$AS17)),'Eingabe EF'!$AS17,'Eingabe EF'!$AQ17)</f>
        <v>0</v>
      </c>
      <c r="G233" s="44">
        <f>IF(NOT(ISBLANK('Referenz Pflasterwerk'!$I32)),'Referenz Pflasterwerk'!$I32,'Referenz Pflasterwerk'!$F32)*IF(NOT(ISBLANK('Eingabe EF'!$AW17)),'Eingabe EF'!$AW17,'Eingabe EF'!$AU17)</f>
        <v>0</v>
      </c>
      <c r="H233" s="44">
        <f>IF(NOT(ISBLANK('Referenz Pflasterwerk'!$I32)),'Referenz Pflasterwerk'!$I32,'Referenz Pflasterwerk'!$F32)*IF(NOT(ISBLANK('Eingabe EF'!$BA17)),'Eingabe EF'!$BA17,'Eingabe EF'!$AY17)</f>
        <v>250.21676159999998</v>
      </c>
      <c r="I233" s="17"/>
      <c r="J233" s="38">
        <f t="shared" si="48"/>
        <v>0</v>
      </c>
      <c r="K233" s="38">
        <f t="shared" si="49"/>
        <v>250.21676159999998</v>
      </c>
      <c r="L233" s="17" t="s">
        <v>199</v>
      </c>
      <c r="N233" s="17"/>
      <c r="O233" s="17"/>
      <c r="P233" s="17"/>
      <c r="Q233" s="30"/>
      <c r="R233" s="17"/>
      <c r="S233" s="17"/>
      <c r="T233" s="17"/>
    </row>
    <row r="234" spans="2:20" ht="15.75" hidden="1" outlineLevel="1" x14ac:dyDescent="0.3">
      <c r="B234" s="17"/>
      <c r="C234" s="17"/>
      <c r="D234" s="17" t="s">
        <v>47</v>
      </c>
      <c r="E234" s="17"/>
      <c r="F234" s="44">
        <f>IF(NOT(ISBLANK('Referenz Pflasterwerk'!$I33)),'Referenz Pflasterwerk'!$I33,'Referenz Pflasterwerk'!$F33)*IF(NOT(ISBLANK('Eingabe EF'!$AS18)),'Eingabe EF'!$AS18,'Eingabe EF'!$AQ18)</f>
        <v>0</v>
      </c>
      <c r="G234" s="44">
        <f>IF(NOT(ISBLANK('Referenz Pflasterwerk'!$I33)),'Referenz Pflasterwerk'!$I33,'Referenz Pflasterwerk'!$F33)*IF(NOT(ISBLANK('Eingabe EF'!$AW18)),'Eingabe EF'!$AW18,'Eingabe EF'!$AU18)</f>
        <v>0</v>
      </c>
      <c r="H234" s="44">
        <f>IF(NOT(ISBLANK('Referenz Pflasterwerk'!$I33)),'Referenz Pflasterwerk'!$I33,'Referenz Pflasterwerk'!$F33)*IF(NOT(ISBLANK('Eingabe EF'!$BA18)),'Eingabe EF'!$BA18,'Eingabe EF'!$AY18)</f>
        <v>328.4094996</v>
      </c>
      <c r="I234" s="17"/>
      <c r="J234" s="38">
        <f t="shared" si="48"/>
        <v>0</v>
      </c>
      <c r="K234" s="38">
        <f t="shared" si="49"/>
        <v>328.4094996</v>
      </c>
      <c r="L234" s="17" t="s">
        <v>199</v>
      </c>
      <c r="N234" s="17"/>
      <c r="O234" s="17" t="s">
        <v>31</v>
      </c>
      <c r="P234" s="17"/>
      <c r="Q234" s="30"/>
      <c r="R234" s="17"/>
      <c r="S234" s="42">
        <f>S246+S247</f>
        <v>36000</v>
      </c>
      <c r="T234" s="20" t="s">
        <v>109</v>
      </c>
    </row>
    <row r="235" spans="2:20" hidden="1" outlineLevel="1" x14ac:dyDescent="0.2">
      <c r="B235" s="17"/>
      <c r="C235" s="17"/>
      <c r="D235" s="17"/>
      <c r="E235" s="17"/>
      <c r="F235" s="20"/>
      <c r="G235" s="20"/>
      <c r="H235" s="20"/>
      <c r="I235" s="17"/>
      <c r="J235" s="20"/>
      <c r="K235" s="20"/>
      <c r="L235" s="17"/>
      <c r="N235" s="17"/>
      <c r="O235" s="45" t="s">
        <v>155</v>
      </c>
      <c r="P235" s="17"/>
      <c r="Q235" s="30"/>
      <c r="R235" s="17"/>
      <c r="S235" s="42">
        <f>IF(NOT(ISBLANK($K$19)),$K$19,$I$19)</f>
        <v>1000</v>
      </c>
      <c r="T235" s="20" t="s">
        <v>109</v>
      </c>
    </row>
    <row r="236" spans="2:20" ht="14.25" hidden="1" outlineLevel="1" x14ac:dyDescent="0.25">
      <c r="B236" s="69"/>
      <c r="C236" s="69" t="s">
        <v>69</v>
      </c>
      <c r="D236" s="70"/>
      <c r="E236" s="70"/>
      <c r="F236" s="71">
        <f>SUM(F237:F240)</f>
        <v>0</v>
      </c>
      <c r="G236" s="71">
        <f t="shared" ref="G236" si="53">SUM(G237:G240)</f>
        <v>0</v>
      </c>
      <c r="H236" s="71">
        <f>SUM(H237:H240)</f>
        <v>7683.24</v>
      </c>
      <c r="I236" s="70"/>
      <c r="J236" s="71">
        <f t="shared" ref="J236:J240" si="54">F236+G236</f>
        <v>0</v>
      </c>
      <c r="K236" s="71">
        <f t="shared" ref="K236" si="55">SUM(F236:H236)</f>
        <v>7683.24</v>
      </c>
      <c r="L236" s="76" t="s">
        <v>198</v>
      </c>
      <c r="N236" s="17"/>
      <c r="O236" s="45" t="s">
        <v>162</v>
      </c>
      <c r="P236" s="17"/>
      <c r="Q236" s="30"/>
      <c r="R236" s="17"/>
      <c r="S236" s="42">
        <f>S249+S250</f>
        <v>0</v>
      </c>
      <c r="T236" s="20" t="s">
        <v>109</v>
      </c>
    </row>
    <row r="237" spans="2:20" ht="15.75" hidden="1" outlineLevel="1" x14ac:dyDescent="0.3">
      <c r="B237" s="17"/>
      <c r="C237" s="17"/>
      <c r="D237" s="17" t="s">
        <v>48</v>
      </c>
      <c r="E237" s="17"/>
      <c r="F237" s="38">
        <f>IF(NOT(ISBLANK('Referenz Pflasterwerk'!$I36)),'Referenz Pflasterwerk'!$I36,'Referenz Pflasterwerk'!$F36)*IF(NOT(ISBLANK('Eingabe EF'!$AS21)),'Eingabe EF'!$AS21,'Eingabe EF'!$AQ21)*IF(NOT(ISBLANK('Referenz Pflasterwerk'!$I$12)),'Referenz Pflasterwerk'!$I$12,'Referenz Pflasterwerk'!$F$12)</f>
        <v>0</v>
      </c>
      <c r="G237" s="38">
        <f>IF(NOT(ISBLANK('Referenz Pflasterwerk'!$I36)),'Referenz Pflasterwerk'!$I36,'Referenz Pflasterwerk'!$F36)*IF(NOT(ISBLANK('Eingabe EF'!$AW21)),'Eingabe EF'!$AW21,'Eingabe EF'!$AU21)*IF(NOT(ISBLANK('Referenz Pflasterwerk'!$I$12)),'Referenz Pflasterwerk'!$I$12,'Referenz Pflasterwerk'!$F$12)</f>
        <v>0</v>
      </c>
      <c r="H237" s="38">
        <f>IF(NOT(ISBLANK('Referenz Pflasterwerk'!$I36)),'Referenz Pflasterwerk'!$I36,'Referenz Pflasterwerk'!$F36)*IF(NOT(ISBLANK('Eingabe EF'!$BA21)),'Eingabe EF'!$BA21,'Eingabe EF'!$AY21)*IF(NOT(ISBLANK('Referenz Pflasterwerk'!$I$12)),'Referenz Pflasterwerk'!$I$12,'Referenz Pflasterwerk'!$F$12)</f>
        <v>2144.625</v>
      </c>
      <c r="I237" s="17"/>
      <c r="J237" s="38">
        <f t="shared" si="54"/>
        <v>0</v>
      </c>
      <c r="K237" s="38">
        <f t="shared" ref="K237:K240" si="56">SUM(F237:H237)</f>
        <v>2144.625</v>
      </c>
      <c r="L237" s="17" t="s">
        <v>199</v>
      </c>
      <c r="N237" s="17"/>
      <c r="O237" s="17"/>
      <c r="P237" s="17"/>
      <c r="Q237" s="17"/>
      <c r="R237" s="17"/>
      <c r="S237" s="17"/>
      <c r="T237" s="17"/>
    </row>
    <row r="238" spans="2:20" ht="15.75" hidden="1" outlineLevel="1" x14ac:dyDescent="0.3">
      <c r="B238" s="17"/>
      <c r="C238" s="17"/>
      <c r="D238" s="17" t="s">
        <v>50</v>
      </c>
      <c r="E238" s="17"/>
      <c r="F238" s="38">
        <f>IF(NOT(ISBLANK('Referenz Pflasterwerk'!$I37)),'Referenz Pflasterwerk'!$I37,'Referenz Pflasterwerk'!$F37)*IF(NOT(ISBLANK('Eingabe EF'!$AS22)),'Eingabe EF'!$AS22,'Eingabe EF'!$AQ22)*IF(NOT(ISBLANK('Referenz Pflasterwerk'!$I$12)),'Referenz Pflasterwerk'!$I$12,'Referenz Pflasterwerk'!$F$12)</f>
        <v>0</v>
      </c>
      <c r="G238" s="38">
        <f>IF(NOT(ISBLANK('Referenz Pflasterwerk'!$I37)),'Referenz Pflasterwerk'!$I37,'Referenz Pflasterwerk'!$F37)*IF(NOT(ISBLANK('Eingabe EF'!$AW22)),'Eingabe EF'!$AW22,'Eingabe EF'!$AU22)*IF(NOT(ISBLANK('Referenz Pflasterwerk'!$I$12)),'Referenz Pflasterwerk'!$I$12,'Referenz Pflasterwerk'!$F$12)</f>
        <v>0</v>
      </c>
      <c r="H238" s="38">
        <f>IF(NOT(ISBLANK('Referenz Pflasterwerk'!$I37)),'Referenz Pflasterwerk'!$I37,'Referenz Pflasterwerk'!$F37)*IF(NOT(ISBLANK('Eingabe EF'!$BA22)),'Eingabe EF'!$BA22,'Eingabe EF'!$AY22)*IF(NOT(ISBLANK('Referenz Pflasterwerk'!$I$12)),'Referenz Pflasterwerk'!$I$12,'Referenz Pflasterwerk'!$F$12)</f>
        <v>4993.59</v>
      </c>
      <c r="I238" s="17"/>
      <c r="J238" s="38">
        <f t="shared" si="54"/>
        <v>0</v>
      </c>
      <c r="K238" s="38">
        <f t="shared" si="56"/>
        <v>4993.59</v>
      </c>
      <c r="L238" s="17" t="s">
        <v>199</v>
      </c>
      <c r="N238" s="17"/>
      <c r="O238" s="17"/>
      <c r="P238" s="17"/>
      <c r="Q238" s="17"/>
      <c r="R238" s="17"/>
      <c r="S238" s="17"/>
      <c r="T238" s="17"/>
    </row>
    <row r="239" spans="2:20" ht="15.75" hidden="1" outlineLevel="1" x14ac:dyDescent="0.3">
      <c r="B239" s="17"/>
      <c r="C239" s="17"/>
      <c r="D239" s="17" t="s">
        <v>51</v>
      </c>
      <c r="E239" s="17"/>
      <c r="F239" s="38">
        <f>IF(NOT(ISBLANK('Referenz Pflasterwerk'!$I38)),'Referenz Pflasterwerk'!$I38,'Referenz Pflasterwerk'!$F38)*IF(NOT(ISBLANK('Eingabe EF'!$AS23)),'Eingabe EF'!$AS23,'Eingabe EF'!$AQ23)*IF(NOT(ISBLANK('Referenz Pflasterwerk'!$I$12)),'Referenz Pflasterwerk'!$I$12,'Referenz Pflasterwerk'!$F$12)</f>
        <v>0</v>
      </c>
      <c r="G239" s="38">
        <f>IF(NOT(ISBLANK('Referenz Pflasterwerk'!$I38)),'Referenz Pflasterwerk'!$I38,'Referenz Pflasterwerk'!$F38)*IF(NOT(ISBLANK('Eingabe EF'!$AW23)),'Eingabe EF'!$AW23,'Eingabe EF'!$AU23)*IF(NOT(ISBLANK('Referenz Pflasterwerk'!$I$12)),'Referenz Pflasterwerk'!$I$12,'Referenz Pflasterwerk'!$F$12)</f>
        <v>0</v>
      </c>
      <c r="H239" s="38">
        <f>IF(NOT(ISBLANK('Referenz Pflasterwerk'!$I38)),'Referenz Pflasterwerk'!$I38,'Referenz Pflasterwerk'!$F38)*IF(NOT(ISBLANK('Eingabe EF'!$BA23)),'Eingabe EF'!$BA23,'Eingabe EF'!$AY23)*IF(NOT(ISBLANK('Referenz Pflasterwerk'!$I$12)),'Referenz Pflasterwerk'!$I$12,'Referenz Pflasterwerk'!$F$12)</f>
        <v>545.02499999999998</v>
      </c>
      <c r="I239" s="17"/>
      <c r="J239" s="38">
        <f t="shared" si="54"/>
        <v>0</v>
      </c>
      <c r="K239" s="38">
        <f t="shared" si="56"/>
        <v>545.02499999999998</v>
      </c>
      <c r="L239" s="17" t="s">
        <v>199</v>
      </c>
      <c r="N239" s="17"/>
      <c r="O239" s="17" t="s">
        <v>201</v>
      </c>
      <c r="P239" s="17"/>
      <c r="Q239" s="30"/>
      <c r="R239" s="17"/>
      <c r="S239" s="42">
        <f>F275*IF(NOT(ISBLANK('Eingabe Preise'!$O21)),'Eingabe Preise'!$O21,'Eingabe Preise'!$M21)</f>
        <v>8528.0704127999998</v>
      </c>
      <c r="T239" s="20" t="s">
        <v>109</v>
      </c>
    </row>
    <row r="240" spans="2:20" ht="15.75" hidden="1" outlineLevel="1" x14ac:dyDescent="0.3">
      <c r="B240" s="17"/>
      <c r="C240" s="17"/>
      <c r="D240" s="17" t="s">
        <v>163</v>
      </c>
      <c r="E240" s="17"/>
      <c r="F240" s="38">
        <f>IF(NOT(ISBLANK('Referenz Pflasterwerk'!$I39)),'Referenz Pflasterwerk'!$I39,'Referenz Pflasterwerk'!$F39)*IF(NOT(ISBLANK('Eingabe EF'!$AS24)),'Eingabe EF'!$AS24,0)*IF(NOT(ISBLANK('Referenz Pflasterwerk'!$I$12)),'Referenz Pflasterwerk'!$I$12,'Referenz Pflasterwerk'!$F$12)</f>
        <v>0</v>
      </c>
      <c r="G240" s="38">
        <f>IF(NOT(ISBLANK('Referenz Pflasterwerk'!$I39)),'Referenz Pflasterwerk'!$I39,'Referenz Pflasterwerk'!$F39)*IF(NOT(ISBLANK('Eingabe EF'!$AW24)),'Eingabe EF'!$AW24,0)*IF(NOT(ISBLANK('Referenz Pflasterwerk'!$I$12)),'Referenz Pflasterwerk'!$I$12,'Referenz Pflasterwerk'!$F$12)</f>
        <v>0</v>
      </c>
      <c r="H240" s="38">
        <f>IF(NOT(ISBLANK('Referenz Pflasterwerk'!$I39)),'Referenz Pflasterwerk'!$I39,'Referenz Pflasterwerk'!$F39)*IF(NOT(ISBLANK('Eingabe EF'!$BA24)),'Eingabe EF'!$BA24,0)*IF(NOT(ISBLANK('Referenz Pflasterwerk'!$I$12)),'Referenz Pflasterwerk'!$I$12,'Referenz Pflasterwerk'!$F$12)</f>
        <v>0</v>
      </c>
      <c r="I240" s="17"/>
      <c r="J240" s="38">
        <f t="shared" si="54"/>
        <v>0</v>
      </c>
      <c r="K240" s="38">
        <f t="shared" si="56"/>
        <v>0</v>
      </c>
      <c r="L240" s="17" t="s">
        <v>199</v>
      </c>
      <c r="N240" s="17"/>
      <c r="O240" s="17" t="s">
        <v>202</v>
      </c>
      <c r="P240" s="17"/>
      <c r="Q240" s="30"/>
      <c r="R240" s="17"/>
      <c r="S240" s="42">
        <f>G275*IF(NOT(ISBLANK('Eingabe Preise'!$O22)),'Eingabe Preise'!$O22,'Eingabe Preise'!$M22)</f>
        <v>7112.7396711061092</v>
      </c>
      <c r="T240" s="20" t="s">
        <v>109</v>
      </c>
    </row>
    <row r="241" spans="2:20" ht="15.75" hidden="1" outlineLevel="1" x14ac:dyDescent="0.3">
      <c r="B241" s="17"/>
      <c r="C241" s="17"/>
      <c r="D241" s="17"/>
      <c r="E241" s="17"/>
      <c r="F241" s="17"/>
      <c r="G241" s="17"/>
      <c r="H241" s="17"/>
      <c r="I241" s="17"/>
      <c r="J241" s="20"/>
      <c r="K241" s="20"/>
      <c r="L241" s="17"/>
      <c r="N241" s="17"/>
      <c r="O241" s="17" t="s">
        <v>203</v>
      </c>
      <c r="P241" s="17"/>
      <c r="Q241" s="30"/>
      <c r="R241" s="17"/>
      <c r="S241" s="42">
        <f>H275*IF(NOT(ISBLANK('Eingabe Preise'!$O23)),'Eingabe Preise'!$O23,'Eingabe Preise'!$M23)</f>
        <v>839778.25412785122</v>
      </c>
      <c r="T241" s="20" t="s">
        <v>109</v>
      </c>
    </row>
    <row r="242" spans="2:20" ht="14.25" hidden="1" outlineLevel="1" x14ac:dyDescent="0.25">
      <c r="B242" s="69"/>
      <c r="C242" s="69" t="s">
        <v>178</v>
      </c>
      <c r="D242" s="70"/>
      <c r="E242" s="70"/>
      <c r="F242" s="71">
        <f>SUM(F243:F245)</f>
        <v>0</v>
      </c>
      <c r="G242" s="71">
        <f t="shared" ref="G242:H242" si="57">SUM(G243:G245)</f>
        <v>0</v>
      </c>
      <c r="H242" s="71">
        <f t="shared" si="57"/>
        <v>387.03000000000003</v>
      </c>
      <c r="I242" s="70"/>
      <c r="J242" s="71">
        <f t="shared" ref="J242" si="58">F242+G242</f>
        <v>0</v>
      </c>
      <c r="K242" s="71">
        <f t="shared" ref="K242" si="59">SUM(F242:H242)</f>
        <v>387.03000000000003</v>
      </c>
      <c r="L242" s="76" t="s">
        <v>198</v>
      </c>
      <c r="N242" s="17"/>
      <c r="O242" s="17"/>
      <c r="P242" s="17"/>
      <c r="Q242" s="17"/>
      <c r="R242" s="17"/>
      <c r="S242" s="17"/>
      <c r="T242" s="17"/>
    </row>
    <row r="243" spans="2:20" ht="15.75" hidden="1" outlineLevel="1" x14ac:dyDescent="0.3">
      <c r="B243" s="17"/>
      <c r="C243" s="17"/>
      <c r="D243" s="17" t="s">
        <v>179</v>
      </c>
      <c r="E243" s="17"/>
      <c r="F243" s="38">
        <f>IF(NOT(ISBLANK('Referenz Pflasterwerk'!$I42)),'Referenz Pflasterwerk'!$I42,'Referenz Pflasterwerk'!$F42)*IF(NOT(ISBLANK('Eingabe EF'!$AS27)),'Eingabe EF'!$AS27,'Eingabe EF'!$AQ27)*IF(NOT(ISBLANK('Referenz Pflasterwerk'!$I$12)),'Referenz Pflasterwerk'!$I$12,'Referenz Pflasterwerk'!$F$12)</f>
        <v>0</v>
      </c>
      <c r="G243" s="38">
        <f>IF(NOT(ISBLANK('Referenz Pflasterwerk'!$I42)),'Referenz Pflasterwerk'!$I42,'Referenz Pflasterwerk'!$F42)*IF(NOT(ISBLANK('Eingabe EF'!$AW27)),'Eingabe EF'!$AW27,'Eingabe EF'!$AU27)*IF(NOT(ISBLANK('Referenz Pflasterwerk'!$I$12)),'Referenz Pflasterwerk'!$I$12,'Referenz Pflasterwerk'!$F$12)</f>
        <v>0</v>
      </c>
      <c r="H243" s="38">
        <f>IF(NOT(ISBLANK('Referenz Pflasterwerk'!$I42)),'Referenz Pflasterwerk'!$I42,'Referenz Pflasterwerk'!$F42)*IF(NOT(ISBLANK('Eingabe EF'!$BA27)),'Eingabe EF'!$BA27,'Eingabe EF'!$AY27)*IF(NOT(ISBLANK('Referenz Pflasterwerk'!$I$12)),'Referenz Pflasterwerk'!$I$12,'Referenz Pflasterwerk'!$F$12)</f>
        <v>387.03000000000003</v>
      </c>
      <c r="I243" s="17"/>
      <c r="J243" s="38">
        <f>F243+G243</f>
        <v>0</v>
      </c>
      <c r="K243" s="38">
        <f>SUM(F243:H243)</f>
        <v>387.03000000000003</v>
      </c>
      <c r="L243" s="17" t="s">
        <v>199</v>
      </c>
      <c r="N243" s="17"/>
      <c r="O243" s="17"/>
      <c r="P243" s="17"/>
      <c r="Q243" s="17"/>
      <c r="R243" s="17"/>
      <c r="S243" s="17"/>
      <c r="T243" s="17"/>
    </row>
    <row r="244" spans="2:20" ht="15.75" hidden="1" outlineLevel="1" x14ac:dyDescent="0.3">
      <c r="B244" s="17"/>
      <c r="C244" s="17"/>
      <c r="D244" s="17" t="s">
        <v>180</v>
      </c>
      <c r="E244" s="17"/>
      <c r="F244" s="38">
        <f>IF(NOT(ISBLANK('Referenz Pflasterwerk'!$I43)),'Referenz Pflasterwerk'!$I43,'Referenz Pflasterwerk'!$F43)*IF(NOT(ISBLANK('Eingabe EF'!$AS28)),'Eingabe EF'!$AS28,0)*IF(NOT(ISBLANK('Referenz Pflasterwerk'!$I$12)),'Referenz Pflasterwerk'!$I$12,'Referenz Pflasterwerk'!$F$12)</f>
        <v>0</v>
      </c>
      <c r="G244" s="38">
        <f>IF(NOT(ISBLANK('Referenz Pflasterwerk'!$I43)),'Referenz Pflasterwerk'!$I43,'Referenz Pflasterwerk'!$F43)*IF(NOT(ISBLANK('Eingabe EF'!$AW28)),'Eingabe EF'!$AW28,0)*IF(NOT(ISBLANK('Referenz Pflasterwerk'!$I$12)),'Referenz Pflasterwerk'!$I$12,'Referenz Pflasterwerk'!$F$12)</f>
        <v>0</v>
      </c>
      <c r="H244" s="38">
        <f>IF(NOT(ISBLANK('Referenz Pflasterwerk'!$I43)),'Referenz Pflasterwerk'!$I43,'Referenz Pflasterwerk'!$F43)*IF(NOT(ISBLANK('Eingabe EF'!$BA28)),'Eingabe EF'!$BA28,0)*IF(NOT(ISBLANK('Referenz Pflasterwerk'!$I$12)),'Referenz Pflasterwerk'!$I$12,'Referenz Pflasterwerk'!$F$12)</f>
        <v>0</v>
      </c>
      <c r="I244" s="17"/>
      <c r="J244" s="38">
        <f>F244+G244</f>
        <v>0</v>
      </c>
      <c r="K244" s="38">
        <f t="shared" ref="K244:K245" si="60">SUM(F244:H244)</f>
        <v>0</v>
      </c>
      <c r="L244" s="17" t="s">
        <v>199</v>
      </c>
      <c r="N244" s="17"/>
      <c r="O244" s="17"/>
      <c r="P244" s="17"/>
      <c r="Q244" s="18"/>
      <c r="R244" s="17"/>
      <c r="S244" s="18"/>
      <c r="T244" s="18"/>
    </row>
    <row r="245" spans="2:20" ht="15.75" hidden="1" outlineLevel="1" x14ac:dyDescent="0.3">
      <c r="B245" s="17"/>
      <c r="C245" s="17"/>
      <c r="D245" s="17" t="s">
        <v>181</v>
      </c>
      <c r="E245" s="17"/>
      <c r="F245" s="38">
        <f>IF(NOT(ISBLANK('Referenz Pflasterwerk'!$I44)),'Referenz Pflasterwerk'!$I44,'Referenz Pflasterwerk'!$F44)*IF(NOT(ISBLANK('Eingabe EF'!$AS29)),'Eingabe EF'!$AS29,0)*IF(NOT(ISBLANK('Referenz Pflasterwerk'!$I$12)),'Referenz Pflasterwerk'!$I$12,'Referenz Pflasterwerk'!$F$12)</f>
        <v>0</v>
      </c>
      <c r="G245" s="38">
        <f>IF(NOT(ISBLANK('Referenz Pflasterwerk'!$I44)),'Referenz Pflasterwerk'!$I44,'Referenz Pflasterwerk'!$F44)*IF(NOT(ISBLANK('Eingabe EF'!$AW29)),'Eingabe EF'!$AW29,0)*IF(NOT(ISBLANK('Referenz Pflasterwerk'!$I$12)),'Referenz Pflasterwerk'!$I$12,'Referenz Pflasterwerk'!$F$12)</f>
        <v>0</v>
      </c>
      <c r="H245" s="38">
        <f>IF(NOT(ISBLANK('Referenz Pflasterwerk'!$I44)),'Referenz Pflasterwerk'!$I44,'Referenz Pflasterwerk'!$F44)*IF(NOT(ISBLANK('Eingabe EF'!$BA29)),'Eingabe EF'!$BA29,0)*IF(NOT(ISBLANK('Referenz Pflasterwerk'!$I$12)),'Referenz Pflasterwerk'!$I$12,'Referenz Pflasterwerk'!$F$12)</f>
        <v>0</v>
      </c>
      <c r="I245" s="17"/>
      <c r="J245" s="38">
        <f t="shared" ref="J245" si="61">F245+G245</f>
        <v>0</v>
      </c>
      <c r="K245" s="38">
        <f t="shared" si="60"/>
        <v>0</v>
      </c>
      <c r="L245" s="17" t="s">
        <v>199</v>
      </c>
      <c r="N245" s="21" t="s">
        <v>224</v>
      </c>
      <c r="O245" s="17"/>
      <c r="P245" s="17"/>
      <c r="Q245" s="17"/>
      <c r="R245" s="17"/>
      <c r="S245" s="17"/>
      <c r="T245" s="17"/>
    </row>
    <row r="246" spans="2:20" hidden="1" outlineLevel="1" x14ac:dyDescent="0.2">
      <c r="B246" s="17"/>
      <c r="C246" s="17"/>
      <c r="D246" s="17"/>
      <c r="E246" s="17"/>
      <c r="F246" s="17"/>
      <c r="G246" s="17"/>
      <c r="H246" s="17"/>
      <c r="I246" s="17"/>
      <c r="J246" s="20"/>
      <c r="K246" s="20"/>
      <c r="L246" s="17"/>
      <c r="N246" s="17"/>
      <c r="O246" s="17" t="s">
        <v>225</v>
      </c>
      <c r="P246" s="17"/>
      <c r="Q246" s="18"/>
      <c r="R246" s="17"/>
      <c r="S246" s="42">
        <f>IF(IF(NOT(ISBLANK($G$23)),$G$23,$E$23)&gt;5,S163,0)</f>
        <v>36000</v>
      </c>
      <c r="T246" s="20" t="s">
        <v>109</v>
      </c>
    </row>
    <row r="247" spans="2:20" ht="14.25" hidden="1" outlineLevel="1" x14ac:dyDescent="0.25">
      <c r="B247" s="17"/>
      <c r="C247" s="17"/>
      <c r="D247" s="21" t="s">
        <v>58</v>
      </c>
      <c r="E247" s="21"/>
      <c r="F247" s="74">
        <f>IF(NOT(ISBLANK('Referenz Pflasterwerk'!$I46)),'Referenz Pflasterwerk'!$I46,'Referenz Pflasterwerk'!$F46)*IF(NOT(ISBLANK('Eingabe EF'!$AS31)),'Eingabe EF'!$AS31,'Eingabe EF'!$AQ31)*IF(NOT(ISBLANK('Referenz Pflasterwerk'!$I$12)),'Referenz Pflasterwerk'!$I$12,'Referenz Pflasterwerk'!$F$12)</f>
        <v>0</v>
      </c>
      <c r="G247" s="74">
        <f>IF(NOT(ISBLANK('Referenz Pflasterwerk'!$I46)),'Referenz Pflasterwerk'!$I46,'Referenz Pflasterwerk'!$F46)*IF(NOT(ISBLANK('Eingabe EF'!$AW31)),'Eingabe EF'!$AW31,'Eingabe EF'!$AU31)*IF(NOT(ISBLANK('Referenz Pflasterwerk'!$I$12)),'Referenz Pflasterwerk'!$I$12,'Referenz Pflasterwerk'!$F$12)</f>
        <v>0</v>
      </c>
      <c r="H247" s="74">
        <f>IF(NOT(ISBLANK('Referenz Pflasterwerk'!$I46)),'Referenz Pflasterwerk'!$I46,'Referenz Pflasterwerk'!$F46)*IF(NOT(ISBLANK('Eingabe EF'!$BA31)),'Eingabe EF'!$BA31,'Eingabe EF'!$AY31)*IF(NOT(ISBLANK('Referenz Pflasterwerk'!$I$12)),'Referenz Pflasterwerk'!$I$12,'Referenz Pflasterwerk'!$F$12)</f>
        <v>1040</v>
      </c>
      <c r="I247" s="21"/>
      <c r="J247" s="74">
        <f>F247+G247</f>
        <v>0</v>
      </c>
      <c r="K247" s="74">
        <f t="shared" ref="K247" si="62">SUM(F247:H247)</f>
        <v>1040</v>
      </c>
      <c r="L247" s="21" t="s">
        <v>198</v>
      </c>
      <c r="N247" s="17"/>
      <c r="O247" s="17" t="s">
        <v>226</v>
      </c>
      <c r="P247" s="17"/>
      <c r="Q247" s="17"/>
      <c r="R247" s="17"/>
      <c r="S247" s="42">
        <f>IF(NOT(ISBLANK($K$18)),$K$18,$I$18)/IF(NOT(ISBLANK($K$23)),$K$23,$I$23)+IF(NOT(ISBLANK($K$18)),$K$18,$I$18)*(IF(NOT(ISBLANK($K$24)),$K$24,$I$24)/100)</f>
        <v>0</v>
      </c>
      <c r="T247" s="20" t="s">
        <v>109</v>
      </c>
    </row>
    <row r="248" spans="2:20" hidden="1" outlineLevel="1" x14ac:dyDescent="0.2">
      <c r="B248" s="17"/>
      <c r="C248" s="17"/>
      <c r="D248" s="17"/>
      <c r="E248" s="17"/>
      <c r="F248" s="17"/>
      <c r="G248" s="17"/>
      <c r="H248" s="17"/>
      <c r="I248" s="17"/>
      <c r="J248" s="20"/>
      <c r="K248" s="20"/>
      <c r="L248" s="17"/>
      <c r="N248" s="17"/>
      <c r="O248" s="17"/>
      <c r="P248" s="17"/>
      <c r="Q248" s="18"/>
      <c r="R248" s="17"/>
      <c r="S248" s="18"/>
      <c r="T248" s="18"/>
    </row>
    <row r="249" spans="2:20" ht="14.25" hidden="1" outlineLevel="1" x14ac:dyDescent="0.25">
      <c r="B249" s="69"/>
      <c r="C249" s="69" t="s">
        <v>182</v>
      </c>
      <c r="D249" s="70"/>
      <c r="E249" s="70"/>
      <c r="F249" s="71">
        <f>SUM(F250:F252)</f>
        <v>0</v>
      </c>
      <c r="G249" s="71">
        <f t="shared" ref="G249:H249" si="63">SUM(G250:G252)</f>
        <v>0</v>
      </c>
      <c r="H249" s="71">
        <f t="shared" si="63"/>
        <v>424.19999999999993</v>
      </c>
      <c r="I249" s="70"/>
      <c r="J249" s="71">
        <f t="shared" ref="J249" si="64">F249+G249</f>
        <v>0</v>
      </c>
      <c r="K249" s="71">
        <f t="shared" ref="K249" si="65">SUM(F249:H249)</f>
        <v>424.19999999999993</v>
      </c>
      <c r="L249" s="76" t="s">
        <v>198</v>
      </c>
      <c r="N249" s="17"/>
      <c r="O249" s="17" t="s">
        <v>228</v>
      </c>
      <c r="P249" s="17"/>
      <c r="Q249" s="17"/>
      <c r="R249" s="17"/>
      <c r="S249" s="42">
        <f>IF(IF(NOT(ISBLANK($G$23)),$G$23,$E$23)&gt;5,S165,0)</f>
        <v>0</v>
      </c>
      <c r="T249" s="20" t="s">
        <v>109</v>
      </c>
    </row>
    <row r="250" spans="2:20" ht="15.75" hidden="1" outlineLevel="1" x14ac:dyDescent="0.3">
      <c r="B250" s="17"/>
      <c r="C250" s="17"/>
      <c r="D250" s="17" t="s">
        <v>60</v>
      </c>
      <c r="E250" s="17"/>
      <c r="F250" s="38">
        <f>IF(NOT(ISBLANK('Referenz Pflasterwerk'!$I49)),'Referenz Pflasterwerk'!$I49,'Referenz Pflasterwerk'!$F49)*IF(NOT(ISBLANK('Eingabe EF'!$AS34)),'Eingabe EF'!$AS34,'Eingabe EF'!$AQ34)*IF(NOT(ISBLANK('Referenz Pflasterwerk'!$I$12)),'Referenz Pflasterwerk'!$I$12,'Referenz Pflasterwerk'!$F$12)</f>
        <v>0</v>
      </c>
      <c r="G250" s="38">
        <f>IF(NOT(ISBLANK('Referenz Pflasterwerk'!$I49)),'Referenz Pflasterwerk'!$I49,'Referenz Pflasterwerk'!$F49)*IF(NOT(ISBLANK('Eingabe EF'!$AW34)),'Eingabe EF'!$AW34,'Eingabe EF'!$AU34)*IF(NOT(ISBLANK('Referenz Pflasterwerk'!$I$12)),'Referenz Pflasterwerk'!$I$12,'Referenz Pflasterwerk'!$F$12)</f>
        <v>0</v>
      </c>
      <c r="H250" s="38">
        <f>IF(NOT(ISBLANK('Referenz Pflasterwerk'!$I49)),'Referenz Pflasterwerk'!$I49,'Referenz Pflasterwerk'!$F49)*IF(NOT(ISBLANK('Eingabe EF'!$BA34)),'Eingabe EF'!$BA34,'Eingabe EF'!$AY34)*IF(NOT(ISBLANK('Referenz Pflasterwerk'!$I$12)),'Referenz Pflasterwerk'!$I$12,'Referenz Pflasterwerk'!$F$12)</f>
        <v>356.4</v>
      </c>
      <c r="I250" s="17"/>
      <c r="J250" s="38">
        <f>F250+G250</f>
        <v>0</v>
      </c>
      <c r="K250" s="38">
        <f>SUM(F250:H250)</f>
        <v>356.4</v>
      </c>
      <c r="L250" s="17" t="s">
        <v>199</v>
      </c>
      <c r="N250" s="17"/>
      <c r="O250" s="17" t="s">
        <v>229</v>
      </c>
      <c r="P250" s="17"/>
      <c r="Q250" s="18"/>
      <c r="R250" s="17"/>
      <c r="S250" s="42">
        <f>IF(NOT(ISBLANK($K$20)),$K$20,$I$20)/IF(NOT(ISBLANK($K$23)),$K$23,$I$23)+IF(NOT(ISBLANK($K$20)),$K$20,$I$20)*(IF(NOT(ISBLANK($K$24)),$K$24,$I$24)/100)</f>
        <v>0</v>
      </c>
      <c r="T250" s="20" t="s">
        <v>109</v>
      </c>
    </row>
    <row r="251" spans="2:20" ht="15.75" hidden="1" outlineLevel="1" x14ac:dyDescent="0.3">
      <c r="B251" s="17"/>
      <c r="C251" s="17"/>
      <c r="D251" s="17" t="s">
        <v>61</v>
      </c>
      <c r="E251" s="17"/>
      <c r="F251" s="38">
        <f>IF(NOT(ISBLANK('Referenz Pflasterwerk'!$I50)),'Referenz Pflasterwerk'!$I50,'Referenz Pflasterwerk'!$F50)*IF(NOT(ISBLANK('Eingabe EF'!$AS35)),'Eingabe EF'!$AS35,'Eingabe EF'!$AQ35)*IF(NOT(ISBLANK('Referenz Pflasterwerk'!$I$12)),'Referenz Pflasterwerk'!$I$12,'Referenz Pflasterwerk'!$F$12)</f>
        <v>0</v>
      </c>
      <c r="G251" s="38">
        <f>IF(NOT(ISBLANK('Referenz Pflasterwerk'!$I50)),'Referenz Pflasterwerk'!$I50,'Referenz Pflasterwerk'!$F50)*IF(NOT(ISBLANK('Eingabe EF'!$AW35)),'Eingabe EF'!$AW35,'Eingabe EF'!$AU35)*IF(NOT(ISBLANK('Referenz Pflasterwerk'!$I$12)),'Referenz Pflasterwerk'!$I$12,'Referenz Pflasterwerk'!$F$12)</f>
        <v>0</v>
      </c>
      <c r="H251" s="38">
        <f>IF(NOT(ISBLANK('Referenz Pflasterwerk'!$I50)),'Referenz Pflasterwerk'!$I50,'Referenz Pflasterwerk'!$F50)*IF(NOT(ISBLANK('Eingabe EF'!$BA35)),'Eingabe EF'!$BA35,'Eingabe EF'!$AY35)*IF(NOT(ISBLANK('Referenz Pflasterwerk'!$I$12)),'Referenz Pflasterwerk'!$I$12,'Referenz Pflasterwerk'!$F$12)</f>
        <v>0</v>
      </c>
      <c r="I251" s="17"/>
      <c r="J251" s="38">
        <f>F251+G251</f>
        <v>0</v>
      </c>
      <c r="K251" s="38">
        <f>SUM(F251:H251)</f>
        <v>0</v>
      </c>
      <c r="L251" s="17" t="s">
        <v>199</v>
      </c>
      <c r="N251" s="17"/>
      <c r="O251" s="17"/>
      <c r="P251" s="17"/>
      <c r="Q251" s="18"/>
      <c r="R251" s="17"/>
      <c r="S251" s="18"/>
      <c r="T251" s="18"/>
    </row>
    <row r="252" spans="2:20" ht="15.75" hidden="1" outlineLevel="1" x14ac:dyDescent="0.3">
      <c r="B252" s="17"/>
      <c r="C252" s="17"/>
      <c r="D252" s="17" t="s">
        <v>62</v>
      </c>
      <c r="E252" s="17"/>
      <c r="F252" s="38">
        <f>IF(NOT(ISBLANK('Referenz Pflasterwerk'!$I51)),'Referenz Pflasterwerk'!$I51,'Referenz Pflasterwerk'!$F51)*IF(NOT(ISBLANK('Eingabe EF'!$AS36)),'Eingabe EF'!$AS36,'Eingabe EF'!$AQ36)*IF(NOT(ISBLANK('Referenz Pflasterwerk'!$I$12)),'Referenz Pflasterwerk'!$I$12,'Referenz Pflasterwerk'!$F$12)</f>
        <v>0</v>
      </c>
      <c r="G252" s="38">
        <f>IF(NOT(ISBLANK('Referenz Pflasterwerk'!$I51)),'Referenz Pflasterwerk'!$I51,'Referenz Pflasterwerk'!$F51)*IF(NOT(ISBLANK('Eingabe EF'!$AW36)),'Eingabe EF'!$AW36,'Eingabe EF'!$AU36)*IF(NOT(ISBLANK('Referenz Pflasterwerk'!$I$12)),'Referenz Pflasterwerk'!$I$12,'Referenz Pflasterwerk'!$F$12)</f>
        <v>0</v>
      </c>
      <c r="H252" s="38">
        <f>IF(NOT(ISBLANK('Referenz Pflasterwerk'!$I51)),'Referenz Pflasterwerk'!$I51,'Referenz Pflasterwerk'!$F51)*IF(NOT(ISBLANK('Eingabe EF'!$BA36)),'Eingabe EF'!$BA36,'Eingabe EF'!$AY36)*IF(NOT(ISBLANK('Referenz Pflasterwerk'!$I$12)),'Referenz Pflasterwerk'!$I$12,'Referenz Pflasterwerk'!$F$12)</f>
        <v>67.799999999999983</v>
      </c>
      <c r="I252" s="17"/>
      <c r="J252" s="38">
        <f>F252+G252</f>
        <v>0</v>
      </c>
      <c r="K252" s="38">
        <f>SUM(F252:H252)</f>
        <v>67.799999999999983</v>
      </c>
      <c r="L252" s="17" t="s">
        <v>199</v>
      </c>
      <c r="N252" s="17"/>
      <c r="O252" s="17"/>
      <c r="P252" s="17"/>
      <c r="Q252" s="17"/>
      <c r="R252" s="17"/>
      <c r="S252" s="17"/>
      <c r="T252" s="17"/>
    </row>
    <row r="253" spans="2:20" hidden="1" outlineLevel="1" x14ac:dyDescent="0.2">
      <c r="B253" s="17"/>
      <c r="C253" s="17"/>
      <c r="D253" s="17"/>
      <c r="E253" s="17"/>
      <c r="F253" s="17"/>
      <c r="G253" s="17"/>
      <c r="H253" s="17"/>
      <c r="I253" s="17"/>
      <c r="J253" s="17"/>
      <c r="K253" s="20"/>
      <c r="L253" s="20"/>
      <c r="N253" s="17"/>
      <c r="O253" s="17"/>
      <c r="P253" s="17"/>
      <c r="Q253" s="18"/>
      <c r="R253" s="17"/>
      <c r="S253" s="18"/>
      <c r="T253" s="18"/>
    </row>
    <row r="254" spans="2:20" ht="14.25" hidden="1" outlineLevel="1" x14ac:dyDescent="0.25">
      <c r="B254" s="69"/>
      <c r="C254" s="69" t="s">
        <v>52</v>
      </c>
      <c r="D254" s="70"/>
      <c r="E254" s="70"/>
      <c r="F254" s="71">
        <f>SUM(F255:F258)</f>
        <v>0</v>
      </c>
      <c r="G254" s="71">
        <f t="shared" ref="G254:H254" si="66">SUM(G255:G258)</f>
        <v>0</v>
      </c>
      <c r="H254" s="71">
        <f t="shared" si="66"/>
        <v>185.55932668689491</v>
      </c>
      <c r="I254" s="70"/>
      <c r="J254" s="71">
        <f t="shared" ref="J254:J258" si="67">F254+G254</f>
        <v>0</v>
      </c>
      <c r="K254" s="71">
        <f t="shared" ref="K254" si="68">SUM(F254:H254)</f>
        <v>185.55932668689491</v>
      </c>
      <c r="L254" s="76" t="s">
        <v>198</v>
      </c>
    </row>
    <row r="255" spans="2:20" ht="15.75" hidden="1" outlineLevel="1" x14ac:dyDescent="0.3">
      <c r="B255" s="17"/>
      <c r="C255" s="17"/>
      <c r="D255" s="17" t="s">
        <v>53</v>
      </c>
      <c r="E255" s="17"/>
      <c r="F255" s="38">
        <f>IF(NOT(ISBLANK('Referenz Pflasterwerk'!$I$53)),'Referenz Pflasterwerk'!$I$53,'Referenz Pflasterwerk'!$F$53)*IF(NOT(ISBLANK('Referenz Pflasterwerk'!$I54)),'Referenz Pflasterwerk'!$I54,'Referenz Pflasterwerk'!$F54)*IF(NOT(ISBLANK('Eingabe EF'!$AS39)),'Eingabe EF'!$AS39,'Eingabe EF'!$AQ39)*IF(NOT(ISBLANK('Referenz Pflasterwerk'!$I$12)),'Referenz Pflasterwerk'!$I$12,'Referenz Pflasterwerk'!$F$12)</f>
        <v>0</v>
      </c>
      <c r="G255" s="38">
        <f>IF(NOT(ISBLANK('Referenz Pflasterwerk'!$I$53)),'Referenz Pflasterwerk'!$I$53,'Referenz Pflasterwerk'!$F$53)*IF(NOT(ISBLANK('Referenz Pflasterwerk'!$I54)),'Referenz Pflasterwerk'!$I54,'Referenz Pflasterwerk'!$F54)*IF(NOT(ISBLANK('Eingabe EF'!$AW39)),'Eingabe EF'!$AW39,'Eingabe EF'!$AU39)*IF(NOT(ISBLANK('Referenz Pflasterwerk'!$I$12)),'Referenz Pflasterwerk'!$I$12,'Referenz Pflasterwerk'!$F$12)</f>
        <v>0</v>
      </c>
      <c r="H255" s="38">
        <f>IF(NOT(ISBLANK('Referenz Pflasterwerk'!$I$53)),'Referenz Pflasterwerk'!$I$53,'Referenz Pflasterwerk'!$F$53)*IF(NOT(ISBLANK('Referenz Pflasterwerk'!$I54)),'Referenz Pflasterwerk'!$I54,'Referenz Pflasterwerk'!$F54)*IF(NOT(ISBLANK('Eingabe EF'!$BA39)),'Eingabe EF'!$BA39,'Eingabe EF'!$AY39)*IF(NOT(ISBLANK('Referenz Pflasterwerk'!$I$12)),'Referenz Pflasterwerk'!$I$12,'Referenz Pflasterwerk'!$F$12)</f>
        <v>59.997399219765924</v>
      </c>
      <c r="I255" s="17"/>
      <c r="J255" s="38">
        <f t="shared" si="67"/>
        <v>0</v>
      </c>
      <c r="K255" s="38">
        <f t="shared" ref="K255:K258" si="69">SUM(F255:H255)</f>
        <v>59.997399219765924</v>
      </c>
      <c r="L255" s="17" t="s">
        <v>199</v>
      </c>
    </row>
    <row r="256" spans="2:20" ht="15.75" hidden="1" outlineLevel="1" x14ac:dyDescent="0.3">
      <c r="B256" s="17"/>
      <c r="C256" s="17"/>
      <c r="D256" s="17" t="s">
        <v>55</v>
      </c>
      <c r="E256" s="17"/>
      <c r="F256" s="38">
        <f>IF(NOT(ISBLANK('Referenz Pflasterwerk'!$I$53)),'Referenz Pflasterwerk'!$I$53,'Referenz Pflasterwerk'!$F$53)*IF(NOT(ISBLANK('Referenz Pflasterwerk'!$I55)),'Referenz Pflasterwerk'!$I55,'Referenz Pflasterwerk'!$F55)*IF(NOT(ISBLANK('Eingabe EF'!$AS40)),'Eingabe EF'!$AS40,'Eingabe EF'!$AQ40)*IF(NOT(ISBLANK('Referenz Pflasterwerk'!$I$12)),'Referenz Pflasterwerk'!$I$12,'Referenz Pflasterwerk'!$F$12)</f>
        <v>0</v>
      </c>
      <c r="G256" s="38">
        <f>IF(NOT(ISBLANK('Referenz Pflasterwerk'!$I$53)),'Referenz Pflasterwerk'!$I$53,'Referenz Pflasterwerk'!$F$53)*IF(NOT(ISBLANK('Referenz Pflasterwerk'!$I55)),'Referenz Pflasterwerk'!$I55,'Referenz Pflasterwerk'!$F55)*IF(NOT(ISBLANK('Eingabe EF'!$AW40)),'Eingabe EF'!$AW40,'Eingabe EF'!$AU40)*IF(NOT(ISBLANK('Referenz Pflasterwerk'!$I$12)),'Referenz Pflasterwerk'!$I$12,'Referenz Pflasterwerk'!$F$12)</f>
        <v>0</v>
      </c>
      <c r="H256" s="38">
        <f>IF(NOT(ISBLANK('Referenz Pflasterwerk'!$I$53)),'Referenz Pflasterwerk'!$I$53,'Referenz Pflasterwerk'!$F$53)*IF(NOT(ISBLANK('Referenz Pflasterwerk'!$I55)),'Referenz Pflasterwerk'!$I55,'Referenz Pflasterwerk'!$F55)*IF(NOT(ISBLANK('Eingabe EF'!$BA40)),'Eingabe EF'!$BA40,'Eingabe EF'!$AY40)*IF(NOT(ISBLANK('Referenz Pflasterwerk'!$I$12)),'Referenz Pflasterwerk'!$I$12,'Referenz Pflasterwerk'!$F$12)</f>
        <v>7.224692963444574</v>
      </c>
      <c r="I256" s="17"/>
      <c r="J256" s="38">
        <f t="shared" si="67"/>
        <v>0</v>
      </c>
      <c r="K256" s="38">
        <f t="shared" si="69"/>
        <v>7.224692963444574</v>
      </c>
      <c r="L256" s="17" t="s">
        <v>199</v>
      </c>
    </row>
    <row r="257" spans="2:12" ht="15.75" hidden="1" outlineLevel="1" x14ac:dyDescent="0.3">
      <c r="B257" s="17"/>
      <c r="C257" s="17"/>
      <c r="D257" s="17" t="s">
        <v>56</v>
      </c>
      <c r="E257" s="17"/>
      <c r="F257" s="38">
        <f>IF(NOT(ISBLANK('Referenz Pflasterwerk'!$I$53)),'Referenz Pflasterwerk'!$I$53,'Referenz Pflasterwerk'!$F$53)*IF(NOT(ISBLANK('Referenz Pflasterwerk'!$I56)),'Referenz Pflasterwerk'!$I56,'Referenz Pflasterwerk'!$F56)*IF(NOT(ISBLANK('Eingabe EF'!$AS41)),'Eingabe EF'!$AS41,'Eingabe EF'!$AQ41)*IF(NOT(ISBLANK('Referenz Pflasterwerk'!$I$12)),'Referenz Pflasterwerk'!$I$12,'Referenz Pflasterwerk'!$F$12)</f>
        <v>0</v>
      </c>
      <c r="G257" s="38">
        <f>IF(NOT(ISBLANK('Referenz Pflasterwerk'!$I$53)),'Referenz Pflasterwerk'!$I$53,'Referenz Pflasterwerk'!$F$53)*IF(NOT(ISBLANK('Referenz Pflasterwerk'!$I56)),'Referenz Pflasterwerk'!$I56,'Referenz Pflasterwerk'!$F56)*IF(NOT(ISBLANK('Eingabe EF'!$AW41)),'Eingabe EF'!$AW41,'Eingabe EF'!$AU41)*IF(NOT(ISBLANK('Referenz Pflasterwerk'!$I$12)),'Referenz Pflasterwerk'!$I$12,'Referenz Pflasterwerk'!$F$12)</f>
        <v>0</v>
      </c>
      <c r="H257" s="38">
        <f>IF(NOT(ISBLANK('Referenz Pflasterwerk'!$I$53)),'Referenz Pflasterwerk'!$I$53,'Referenz Pflasterwerk'!$F$53)*IF(NOT(ISBLANK('Referenz Pflasterwerk'!$I56)),'Referenz Pflasterwerk'!$I56,'Referenz Pflasterwerk'!$F56)*IF(NOT(ISBLANK('Eingabe EF'!$BA41)),'Eingabe EF'!$BA41,'Eingabe EF'!$AY41)*IF(NOT(ISBLANK('Referenz Pflasterwerk'!$I$12)),'Referenz Pflasterwerk'!$I$12,'Referenz Pflasterwerk'!$F$12)</f>
        <v>1.7771998266146515E-2</v>
      </c>
      <c r="I257" s="17"/>
      <c r="J257" s="38">
        <f t="shared" si="67"/>
        <v>0</v>
      </c>
      <c r="K257" s="38">
        <f t="shared" si="69"/>
        <v>1.7771998266146515E-2</v>
      </c>
      <c r="L257" s="17" t="s">
        <v>199</v>
      </c>
    </row>
    <row r="258" spans="2:12" ht="15.75" hidden="1" outlineLevel="1" x14ac:dyDescent="0.3">
      <c r="B258" s="17"/>
      <c r="C258" s="17"/>
      <c r="D258" s="17" t="s">
        <v>57</v>
      </c>
      <c r="E258" s="17"/>
      <c r="F258" s="38">
        <f>IF(NOT(ISBLANK('Referenz Pflasterwerk'!$I$53)),'Referenz Pflasterwerk'!$I$53,'Referenz Pflasterwerk'!$F$53)*IF(NOT(ISBLANK('Referenz Pflasterwerk'!$I57)),'Referenz Pflasterwerk'!$I57,'Referenz Pflasterwerk'!$F57)*IF(NOT(ISBLANK('Eingabe EF'!$AS42)),'Eingabe EF'!$AS42,'Eingabe EF'!$AQ42)*IF(NOT(ISBLANK('Referenz Pflasterwerk'!$I$12)),'Referenz Pflasterwerk'!$I$12,'Referenz Pflasterwerk'!$F$12)</f>
        <v>0</v>
      </c>
      <c r="G258" s="38">
        <f>IF(NOT(ISBLANK('Referenz Pflasterwerk'!$I$53)),'Referenz Pflasterwerk'!$I$53,'Referenz Pflasterwerk'!$F$53)*IF(NOT(ISBLANK('Referenz Pflasterwerk'!$I57)),'Referenz Pflasterwerk'!$I57,'Referenz Pflasterwerk'!$F57)*IF(NOT(ISBLANK('Eingabe EF'!$AW42)),'Eingabe EF'!$AW42,'Eingabe EF'!$AU42)*IF(NOT(ISBLANK('Referenz Pflasterwerk'!$I$12)),'Referenz Pflasterwerk'!$I$12,'Referenz Pflasterwerk'!$F$12)</f>
        <v>0</v>
      </c>
      <c r="H258" s="38">
        <f>IF(NOT(ISBLANK('Referenz Pflasterwerk'!$I$53)),'Referenz Pflasterwerk'!$I$53,'Referenz Pflasterwerk'!$F$53)*IF(NOT(ISBLANK('Referenz Pflasterwerk'!$I57)),'Referenz Pflasterwerk'!$I57,'Referenz Pflasterwerk'!$F57)*IF(NOT(ISBLANK('Eingabe EF'!$BA42)),'Eingabe EF'!$BA42,'Eingabe EF'!$AY42)*IF(NOT(ISBLANK('Referenz Pflasterwerk'!$I$12)),'Referenz Pflasterwerk'!$I$12,'Referenz Pflasterwerk'!$F$12)</f>
        <v>118.31946250541829</v>
      </c>
      <c r="I258" s="17"/>
      <c r="J258" s="38">
        <f t="shared" si="67"/>
        <v>0</v>
      </c>
      <c r="K258" s="38">
        <f t="shared" si="69"/>
        <v>118.31946250541829</v>
      </c>
      <c r="L258" s="17" t="s">
        <v>199</v>
      </c>
    </row>
    <row r="259" spans="2:12" hidden="1" outlineLevel="1" x14ac:dyDescent="0.2">
      <c r="B259" s="17"/>
      <c r="C259" s="17"/>
      <c r="D259" s="17"/>
      <c r="E259" s="17"/>
      <c r="F259" s="17"/>
      <c r="G259" s="17"/>
      <c r="H259" s="17"/>
      <c r="I259" s="17"/>
      <c r="J259" s="17"/>
      <c r="K259" s="17"/>
      <c r="L259" s="20"/>
    </row>
    <row r="260" spans="2:12" ht="14.25" hidden="1" outlineLevel="1" x14ac:dyDescent="0.25">
      <c r="B260" s="17"/>
      <c r="C260" s="17"/>
      <c r="D260" s="21" t="s">
        <v>113</v>
      </c>
      <c r="E260" s="21"/>
      <c r="F260" s="74">
        <f>IF(NOT(ISBLANK('Referenz Pflasterwerk'!$I59)),'Referenz Pflasterwerk'!$I59,'Referenz Pflasterwerk'!$F59)*IF(NOT(ISBLANK('Eingabe EF'!$AS44)),'Eingabe EF'!$AS44,0)*IF(NOT(ISBLANK('Referenz Pflasterwerk'!$I$12)),'Referenz Pflasterwerk'!$I$12,'Referenz Pflasterwerk'!$F$12)</f>
        <v>0</v>
      </c>
      <c r="G260" s="74">
        <f>IF(NOT(ISBLANK('Referenz Pflasterwerk'!$I59)),'Referenz Pflasterwerk'!$I59,'Referenz Pflasterwerk'!$F59)*IF(NOT(ISBLANK('Eingabe EF'!$AW44)),'Eingabe EF'!$AW44,0)*IF(NOT(ISBLANK('Referenz Pflasterwerk'!$I$12)),'Referenz Pflasterwerk'!$I$12,'Referenz Pflasterwerk'!$F$12)</f>
        <v>0</v>
      </c>
      <c r="H260" s="74">
        <f>IF(NOT(ISBLANK('Referenz Pflasterwerk'!$I59)),'Referenz Pflasterwerk'!$I59,'Referenz Pflasterwerk'!$F59)*IF(NOT(ISBLANK('Eingabe EF'!$BA44)),'Eingabe EF'!$BA44,0)*IF(NOT(ISBLANK('Referenz Pflasterwerk'!$I$12)),'Referenz Pflasterwerk'!$I$12,'Referenz Pflasterwerk'!$F$12)</f>
        <v>0</v>
      </c>
      <c r="I260" s="21"/>
      <c r="J260" s="74">
        <f>F260+G260</f>
        <v>0</v>
      </c>
      <c r="K260" s="74">
        <f>SUM(F260:H260)</f>
        <v>0</v>
      </c>
      <c r="L260" s="21" t="s">
        <v>198</v>
      </c>
    </row>
    <row r="261" spans="2:12" ht="14.25" hidden="1" outlineLevel="1" x14ac:dyDescent="0.25">
      <c r="B261" s="17"/>
      <c r="C261" s="17"/>
      <c r="D261" s="21" t="s">
        <v>65</v>
      </c>
      <c r="E261" s="21"/>
      <c r="F261" s="75">
        <f>IF(NOT(ISBLANK('Referenz Pflasterwerk'!$I60)),'Referenz Pflasterwerk'!$I60,'Referenz Pflasterwerk'!$F60)*IF(NOT(ISBLANK('Eingabe EF'!$AS45)),'Eingabe EF'!$AS45,'Eingabe EF'!$AQ45)</f>
        <v>0</v>
      </c>
      <c r="G261" s="75">
        <f>IF(NOT(ISBLANK('Referenz Pflasterwerk'!$I60)),'Referenz Pflasterwerk'!$I60,'Referenz Pflasterwerk'!$F60)*IF(NOT(ISBLANK('Eingabe EF'!$AW45)),'Eingabe EF'!$AW45,'Eingabe EF'!$AU45)</f>
        <v>0</v>
      </c>
      <c r="H261" s="75">
        <f>IF(NOT(ISBLANK('Referenz Pflasterwerk'!$I60)),'Referenz Pflasterwerk'!$I60,'Referenz Pflasterwerk'!$F60)*IF(NOT(ISBLANK('Eingabe EF'!$BA45)),'Eingabe EF'!$BA45,'Eingabe EF'!$AY45)</f>
        <v>5.4399999999999997E-2</v>
      </c>
      <c r="I261" s="21"/>
      <c r="J261" s="74">
        <f>F261+G261</f>
        <v>0</v>
      </c>
      <c r="K261" s="74">
        <f>SUM(F261:H261)</f>
        <v>5.4399999999999997E-2</v>
      </c>
      <c r="L261" s="21" t="s">
        <v>198</v>
      </c>
    </row>
    <row r="262" spans="2:12" hidden="1" outlineLevel="1" x14ac:dyDescent="0.2">
      <c r="B262" s="17"/>
      <c r="C262" s="17"/>
      <c r="D262" s="17"/>
      <c r="E262" s="17"/>
      <c r="F262" s="17"/>
      <c r="G262" s="17"/>
      <c r="H262" s="17"/>
      <c r="I262" s="17"/>
      <c r="J262" s="17"/>
      <c r="K262" s="17"/>
      <c r="L262" s="20"/>
    </row>
    <row r="263" spans="2:12" ht="14.25" hidden="1" outlineLevel="1" x14ac:dyDescent="0.25">
      <c r="B263" s="69"/>
      <c r="C263" s="69" t="s">
        <v>183</v>
      </c>
      <c r="D263" s="70"/>
      <c r="E263" s="70"/>
      <c r="F263" s="71">
        <f>SUM(F264:F266)</f>
        <v>0</v>
      </c>
      <c r="G263" s="71">
        <f t="shared" ref="G263:H263" si="70">SUM(G264:G266)</f>
        <v>0</v>
      </c>
      <c r="H263" s="71">
        <f t="shared" si="70"/>
        <v>0</v>
      </c>
      <c r="I263" s="70"/>
      <c r="J263" s="71">
        <f t="shared" ref="J263" si="71">F263+G263</f>
        <v>0</v>
      </c>
      <c r="K263" s="71">
        <f t="shared" ref="K263" si="72">SUM(F263:H263)</f>
        <v>0</v>
      </c>
      <c r="L263" s="76" t="s">
        <v>198</v>
      </c>
    </row>
    <row r="264" spans="2:12" ht="15.75" hidden="1" outlineLevel="1" x14ac:dyDescent="0.3">
      <c r="B264" s="17"/>
      <c r="C264" s="17"/>
      <c r="D264" s="17" t="s">
        <v>184</v>
      </c>
      <c r="E264" s="17"/>
      <c r="F264" s="38">
        <f>IF(NOT(ISBLANK('Referenz Pflasterwerk'!$I63)),'Referenz Pflasterwerk'!$I63,'Referenz Pflasterwerk'!$F63)*IF(NOT(ISBLANK('Eingabe EF'!$AS48)),'Eingabe EF'!$AS48,0)*IF(NOT(ISBLANK('Referenz Pflasterwerk'!$I$12)),'Referenz Pflasterwerk'!$I$12,'Referenz Pflasterwerk'!$F$12)</f>
        <v>0</v>
      </c>
      <c r="G264" s="38">
        <f>IF(NOT(ISBLANK('Referenz Pflasterwerk'!$I63)),'Referenz Pflasterwerk'!$I63,'Referenz Pflasterwerk'!$F63)*IF(NOT(ISBLANK('Eingabe EF'!$AW48)),'Eingabe EF'!$AW48,0)*IF(NOT(ISBLANK('Referenz Pflasterwerk'!$I$12)),'Referenz Pflasterwerk'!$I$12,'Referenz Pflasterwerk'!$F$12)</f>
        <v>0</v>
      </c>
      <c r="H264" s="38">
        <f>IF(NOT(ISBLANK('Referenz Pflasterwerk'!$I63)),'Referenz Pflasterwerk'!$I63,'Referenz Pflasterwerk'!$F63)*IF(NOT(ISBLANK('Eingabe EF'!$BA48)),'Eingabe EF'!$BA48,0)*IF(NOT(ISBLANK('Referenz Pflasterwerk'!$I$12)),'Referenz Pflasterwerk'!$I$12,'Referenz Pflasterwerk'!$F$12)</f>
        <v>0</v>
      </c>
      <c r="I264" s="17"/>
      <c r="J264" s="38">
        <f>F264+G264</f>
        <v>0</v>
      </c>
      <c r="K264" s="38">
        <f>SUM(F264:H264)</f>
        <v>0</v>
      </c>
      <c r="L264" s="17" t="s">
        <v>199</v>
      </c>
    </row>
    <row r="265" spans="2:12" ht="15.75" hidden="1" outlineLevel="1" x14ac:dyDescent="0.3">
      <c r="B265" s="17"/>
      <c r="C265" s="17"/>
      <c r="D265" s="17" t="s">
        <v>63</v>
      </c>
      <c r="E265" s="17"/>
      <c r="F265" s="38">
        <f>IF(NOT(ISBLANK('Referenz Pflasterwerk'!$I64)),'Referenz Pflasterwerk'!$I64,'Referenz Pflasterwerk'!$F64)*IF(NOT(ISBLANK('Eingabe EF'!$AS49)),'Eingabe EF'!$AS49,'Eingabe EF'!$AQ49)*IF(NOT(ISBLANK('Referenz Pflasterwerk'!$I$12)),'Referenz Pflasterwerk'!$I$12,'Referenz Pflasterwerk'!$F$12)</f>
        <v>0</v>
      </c>
      <c r="G265" s="38">
        <f>IF(NOT(ISBLANK('Referenz Pflasterwerk'!$I64)),'Referenz Pflasterwerk'!$I64,'Referenz Pflasterwerk'!$F64)*IF(NOT(ISBLANK('Eingabe EF'!$AW49)),'Eingabe EF'!$AW49,'Eingabe EF'!$AU49)*IF(NOT(ISBLANK('Referenz Pflasterwerk'!$I$12)),'Referenz Pflasterwerk'!$I$12,'Referenz Pflasterwerk'!$F$12)</f>
        <v>0</v>
      </c>
      <c r="H265" s="38">
        <f>IF(NOT(ISBLANK('Referenz Pflasterwerk'!$I64)),'Referenz Pflasterwerk'!$I64,'Referenz Pflasterwerk'!$F64)*IF(NOT(ISBLANK('Eingabe EF'!$BA49)),'Eingabe EF'!$BA49,'Eingabe EF'!$AY49)*IF(NOT(ISBLANK('Referenz Pflasterwerk'!$I$12)),'Referenz Pflasterwerk'!$I$12,'Referenz Pflasterwerk'!$F$12)</f>
        <v>0</v>
      </c>
      <c r="I265" s="17"/>
      <c r="J265" s="38">
        <f t="shared" ref="J265" si="73">F265+G265</f>
        <v>0</v>
      </c>
      <c r="K265" s="38">
        <f t="shared" ref="K265" si="74">SUM(F265:H265)</f>
        <v>0</v>
      </c>
      <c r="L265" s="17" t="s">
        <v>199</v>
      </c>
    </row>
    <row r="266" spans="2:12" ht="15.75" hidden="1" outlineLevel="1" x14ac:dyDescent="0.3">
      <c r="B266" s="17"/>
      <c r="C266" s="17"/>
      <c r="D266" s="17" t="s">
        <v>185</v>
      </c>
      <c r="E266" s="17"/>
      <c r="F266" s="38">
        <f>IF(NOT(ISBLANK('Referenz Pflasterwerk'!$I65)),'Referenz Pflasterwerk'!$I65,'Referenz Pflasterwerk'!$F65)*IF(NOT(ISBLANK('Eingabe EF'!$AS50)),'Eingabe EF'!$AS50,0)*IF(NOT(ISBLANK('Referenz Pflasterwerk'!$I$12)),'Referenz Pflasterwerk'!$I$12,'Referenz Pflasterwerk'!$F$12)</f>
        <v>0</v>
      </c>
      <c r="G266" s="38">
        <f>IF(NOT(ISBLANK('Referenz Pflasterwerk'!$I65)),'Referenz Pflasterwerk'!$I65,'Referenz Pflasterwerk'!$F65)*IF(NOT(ISBLANK('Eingabe EF'!$AW50)),'Eingabe EF'!$AW50,0)*IF(NOT(ISBLANK('Referenz Pflasterwerk'!$I$12)),'Referenz Pflasterwerk'!$I$12,'Referenz Pflasterwerk'!$F$12)</f>
        <v>0</v>
      </c>
      <c r="H266" s="38">
        <f>IF(NOT(ISBLANK('Referenz Pflasterwerk'!$I65)),'Referenz Pflasterwerk'!$I65,'Referenz Pflasterwerk'!$F65)*IF(NOT(ISBLANK('Eingabe EF'!$BA50)),'Eingabe EF'!$BA50,0)*IF(NOT(ISBLANK('Referenz Pflasterwerk'!$I$12)),'Referenz Pflasterwerk'!$I$12,'Referenz Pflasterwerk'!$F$12)</f>
        <v>0</v>
      </c>
      <c r="I266" s="17"/>
      <c r="J266" s="38">
        <f>F266+G266</f>
        <v>0</v>
      </c>
      <c r="K266" s="38">
        <f>SUM(F266:H266)</f>
        <v>0</v>
      </c>
      <c r="L266" s="17" t="s">
        <v>199</v>
      </c>
    </row>
    <row r="267" spans="2:12" hidden="1" outlineLevel="1" x14ac:dyDescent="0.2">
      <c r="B267" s="17"/>
      <c r="C267" s="17"/>
      <c r="D267" s="17"/>
      <c r="E267" s="17"/>
      <c r="F267" s="17"/>
      <c r="G267" s="17"/>
      <c r="H267" s="17"/>
      <c r="I267" s="17"/>
      <c r="J267" s="17"/>
      <c r="K267" s="17"/>
      <c r="L267" s="20"/>
    </row>
    <row r="268" spans="2:12" ht="14.25" hidden="1" outlineLevel="1" x14ac:dyDescent="0.25">
      <c r="B268" s="69"/>
      <c r="C268" s="69" t="s">
        <v>186</v>
      </c>
      <c r="D268" s="70"/>
      <c r="E268" s="70"/>
      <c r="F268" s="71">
        <f>SUM(F269:F271)</f>
        <v>0</v>
      </c>
      <c r="G268" s="71">
        <f t="shared" ref="G268:H268" si="75">SUM(G269:G271)</f>
        <v>0</v>
      </c>
      <c r="H268" s="71">
        <f t="shared" si="75"/>
        <v>0</v>
      </c>
      <c r="I268" s="70"/>
      <c r="J268" s="71">
        <f t="shared" ref="J268" si="76">F268+G268</f>
        <v>0</v>
      </c>
      <c r="K268" s="71">
        <f t="shared" ref="K268" si="77">SUM(F268:H268)</f>
        <v>0</v>
      </c>
      <c r="L268" s="76" t="s">
        <v>198</v>
      </c>
    </row>
    <row r="269" spans="2:12" ht="15.75" hidden="1" outlineLevel="1" x14ac:dyDescent="0.3">
      <c r="B269" s="17"/>
      <c r="C269" s="17"/>
      <c r="D269" s="17" t="s">
        <v>67</v>
      </c>
      <c r="E269" s="17"/>
      <c r="F269" s="44">
        <f>IF(NOT(ISBLANK('Referenz Pflasterwerk'!$I68)),'Referenz Pflasterwerk'!$I68,'Referenz Pflasterwerk'!$F68)*IF(NOT(ISBLANK('Eingabe EF'!$AS53)),'Eingabe EF'!$AS53,'Eingabe EF'!$AQ53)</f>
        <v>0</v>
      </c>
      <c r="G269" s="44">
        <f>IF(NOT(ISBLANK('Referenz Pflasterwerk'!$I68)),'Referenz Pflasterwerk'!$I68,'Referenz Pflasterwerk'!$F68)*IF(NOT(ISBLANK('Eingabe EF'!$AW53)),'Eingabe EF'!$AW53,'Eingabe EF'!$AU53)</f>
        <v>0</v>
      </c>
      <c r="H269" s="44">
        <f>IF(NOT(ISBLANK('Referenz Pflasterwerk'!$I68)),'Referenz Pflasterwerk'!$I68,'Referenz Pflasterwerk'!$F68)*IF(NOT(ISBLANK('Eingabe EF'!$BA53)),'Eingabe EF'!$BA53,'Eingabe EF'!$AY53)</f>
        <v>0</v>
      </c>
      <c r="I269" s="17"/>
      <c r="J269" s="38">
        <f>F269+G269</f>
        <v>0</v>
      </c>
      <c r="K269" s="38">
        <f>SUM(F269:H269)</f>
        <v>0</v>
      </c>
      <c r="L269" s="17" t="s">
        <v>199</v>
      </c>
    </row>
    <row r="270" spans="2:12" ht="15.75" hidden="1" outlineLevel="1" x14ac:dyDescent="0.3">
      <c r="B270" s="17"/>
      <c r="C270" s="17"/>
      <c r="D270" s="17" t="s">
        <v>188</v>
      </c>
      <c r="E270" s="17"/>
      <c r="F270" s="44">
        <f>IF(NOT(ISBLANK('Referenz Pflasterwerk'!$I69)),'Referenz Pflasterwerk'!$I69,'Referenz Pflasterwerk'!$F69)*IF(NOT(ISBLANK('Eingabe EF'!$AS54)),'Eingabe EF'!$AS54,0)</f>
        <v>0</v>
      </c>
      <c r="G270" s="44">
        <f>IF(NOT(ISBLANK('Referenz Pflasterwerk'!$I69)),'Referenz Pflasterwerk'!$I69,'Referenz Pflasterwerk'!$F69)*IF(NOT(ISBLANK('Eingabe EF'!$AW54)),'Eingabe EF'!$AW54,0)</f>
        <v>0</v>
      </c>
      <c r="H270" s="44">
        <f>IF(NOT(ISBLANK('Referenz Pflasterwerk'!$I69)),'Referenz Pflasterwerk'!$I69,'Referenz Pflasterwerk'!$F69)*IF(NOT(ISBLANK('Eingabe EF'!$BA54)),'Eingabe EF'!$BA54,0)</f>
        <v>0</v>
      </c>
      <c r="I270" s="17"/>
      <c r="J270" s="38">
        <f t="shared" ref="J270:J271" si="78">F270+G270</f>
        <v>0</v>
      </c>
      <c r="K270" s="38">
        <f t="shared" ref="K270:K271" si="79">SUM(F270:H270)</f>
        <v>0</v>
      </c>
      <c r="L270" s="17" t="s">
        <v>199</v>
      </c>
    </row>
    <row r="271" spans="2:12" ht="15.75" hidden="1" outlineLevel="1" x14ac:dyDescent="0.3">
      <c r="B271" s="17"/>
      <c r="C271" s="17"/>
      <c r="D271" s="17" t="s">
        <v>187</v>
      </c>
      <c r="E271" s="17"/>
      <c r="F271" s="44">
        <f>IF(NOT(ISBLANK('Referenz Pflasterwerk'!$I70)),'Referenz Pflasterwerk'!$I70,'Referenz Pflasterwerk'!$F70)*IF(NOT(ISBLANK('Eingabe EF'!$AS55)),'Eingabe EF'!$AS55,0)</f>
        <v>0</v>
      </c>
      <c r="G271" s="44">
        <f>IF(NOT(ISBLANK('Referenz Pflasterwerk'!$I70)),'Referenz Pflasterwerk'!$I70,'Referenz Pflasterwerk'!$F70)*IF(NOT(ISBLANK('Eingabe EF'!$AW55)),'Eingabe EF'!$AW55,0)</f>
        <v>0</v>
      </c>
      <c r="H271" s="44">
        <f>IF(NOT(ISBLANK('Referenz Pflasterwerk'!$I70)),'Referenz Pflasterwerk'!$I70,'Referenz Pflasterwerk'!$F70)*IF(NOT(ISBLANK('Eingabe EF'!$BA55)),'Eingabe EF'!$BA55,0)</f>
        <v>0</v>
      </c>
      <c r="I271" s="17"/>
      <c r="J271" s="38">
        <f t="shared" si="78"/>
        <v>0</v>
      </c>
      <c r="K271" s="38">
        <f t="shared" si="79"/>
        <v>0</v>
      </c>
      <c r="L271" s="17" t="s">
        <v>199</v>
      </c>
    </row>
    <row r="272" spans="2:12" hidden="1" outlineLevel="1" x14ac:dyDescent="0.2">
      <c r="B272" s="17"/>
      <c r="C272" s="17"/>
      <c r="D272" s="17"/>
      <c r="E272" s="17"/>
      <c r="F272" s="17"/>
      <c r="G272" s="17"/>
      <c r="H272" s="17"/>
      <c r="I272" s="17"/>
      <c r="J272" s="17"/>
      <c r="K272" s="17"/>
      <c r="L272" s="20"/>
    </row>
    <row r="273" spans="2:12" ht="14.25" hidden="1" outlineLevel="1" x14ac:dyDescent="0.25">
      <c r="B273" s="17"/>
      <c r="C273" s="17"/>
      <c r="D273" s="21" t="s">
        <v>64</v>
      </c>
      <c r="E273" s="21"/>
      <c r="F273" s="75">
        <f>IF(NOT(ISBLANK('Referenz Pflasterwerk'!$I72)),'Referenz Pflasterwerk'!$I72,'Referenz Pflasterwerk'!$F72)*IF(NOT(ISBLANK('Eingabe EF'!$AS57)),'Eingabe EF'!$AS57,'Eingabe EF'!$AQ57)</f>
        <v>0</v>
      </c>
      <c r="G273" s="75">
        <f>IF(NOT(ISBLANK('Referenz Pflasterwerk'!$I72)),'Referenz Pflasterwerk'!$I72,'Referenz Pflasterwerk'!$F72)*IF(NOT(ISBLANK('Eingabe EF'!$AW57)),'Eingabe EF'!$AW57,'Eingabe EF'!$AU57)</f>
        <v>0</v>
      </c>
      <c r="H273" s="75">
        <f>IF(NOT(ISBLANK('Referenz Pflasterwerk'!$I72)),'Referenz Pflasterwerk'!$I72,'Referenz Pflasterwerk'!$F72)*IF(NOT(ISBLANK('Eingabe EF'!$BA57)),'Eingabe EF'!$BA57,'Eingabe EF'!$AY57)</f>
        <v>161.20000000000002</v>
      </c>
      <c r="I273" s="21"/>
      <c r="J273" s="74">
        <f t="shared" ref="J273" si="80">F273+G273</f>
        <v>0</v>
      </c>
      <c r="K273" s="74">
        <f t="shared" ref="K273" si="81">SUM(F273:H273)</f>
        <v>161.20000000000002</v>
      </c>
      <c r="L273" s="21" t="s">
        <v>198</v>
      </c>
    </row>
    <row r="274" spans="2:12" hidden="1" outlineLevel="1" x14ac:dyDescent="0.2">
      <c r="B274" s="17"/>
      <c r="C274" s="17"/>
      <c r="D274" s="17"/>
      <c r="E274" s="17"/>
      <c r="F274" s="20"/>
      <c r="G274" s="20"/>
      <c r="H274" s="20"/>
      <c r="I274" s="17"/>
      <c r="J274" s="17"/>
      <c r="K274" s="20"/>
      <c r="L274" s="20"/>
    </row>
    <row r="275" spans="2:12" ht="15" hidden="1" outlineLevel="1" thickBot="1" x14ac:dyDescent="0.3">
      <c r="B275" s="17"/>
      <c r="C275" s="17"/>
      <c r="D275" s="67" t="s">
        <v>70</v>
      </c>
      <c r="E275" s="67"/>
      <c r="F275" s="68">
        <f>SUM(F218:F273)-F232-F236-F242-F249-F254-F263-F268</f>
        <v>106.60088015999999</v>
      </c>
      <c r="G275" s="68">
        <f t="shared" ref="G275:H275" si="82">SUM(G218:G273)-G232-G236-G242-G249-G254-G263-G268</f>
        <v>88.909245888826362</v>
      </c>
      <c r="H275" s="68">
        <f t="shared" si="82"/>
        <v>10497.228176598141</v>
      </c>
      <c r="I275" s="21"/>
      <c r="J275" s="68">
        <f t="shared" ref="J275:K275" si="83">SUM(J218:J273)-J232-J236-J242-J249-J254-J263-J268</f>
        <v>195.51012604882632</v>
      </c>
      <c r="K275" s="68">
        <f t="shared" si="83"/>
        <v>10692.738302646967</v>
      </c>
      <c r="L275" s="68" t="s">
        <v>198</v>
      </c>
    </row>
    <row r="276" spans="2:12" ht="13.5" hidden="1" outlineLevel="1" thickTop="1" x14ac:dyDescent="0.2">
      <c r="B276" s="17"/>
      <c r="C276" s="17"/>
      <c r="D276" s="17"/>
      <c r="E276" s="17"/>
      <c r="F276" s="20"/>
      <c r="G276" s="20"/>
      <c r="H276" s="20"/>
      <c r="I276" s="17"/>
      <c r="J276" s="17"/>
      <c r="K276" s="20"/>
      <c r="L276" s="20"/>
    </row>
    <row r="277" spans="2:12" collapsed="1" x14ac:dyDescent="0.2"/>
  </sheetData>
  <sheetProtection selectLockedCells="1"/>
  <mergeCells count="6">
    <mergeCell ref="C70:C71"/>
    <mergeCell ref="S70:S71"/>
    <mergeCell ref="K79:K80"/>
    <mergeCell ref="D6:L6"/>
    <mergeCell ref="E13:G13"/>
    <mergeCell ref="I13:K13"/>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2</xdr:col>
                    <xdr:colOff>523875</xdr:colOff>
                    <xdr:row>71</xdr:row>
                    <xdr:rowOff>28575</xdr:rowOff>
                  </from>
                  <to>
                    <xdr:col>2</xdr:col>
                    <xdr:colOff>704850</xdr:colOff>
                    <xdr:row>72</xdr:row>
                    <xdr:rowOff>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2</xdr:col>
                    <xdr:colOff>523875</xdr:colOff>
                    <xdr:row>72</xdr:row>
                    <xdr:rowOff>28575</xdr:rowOff>
                  </from>
                  <to>
                    <xdr:col>2</xdr:col>
                    <xdr:colOff>704850</xdr:colOff>
                    <xdr:row>72</xdr:row>
                    <xdr:rowOff>190500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2</xdr:col>
                    <xdr:colOff>523875</xdr:colOff>
                    <xdr:row>73</xdr:row>
                    <xdr:rowOff>28575</xdr:rowOff>
                  </from>
                  <to>
                    <xdr:col>2</xdr:col>
                    <xdr:colOff>704850</xdr:colOff>
                    <xdr:row>73</xdr:row>
                    <xdr:rowOff>180975</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xdr:col>
                    <xdr:colOff>523875</xdr:colOff>
                    <xdr:row>74</xdr:row>
                    <xdr:rowOff>19050</xdr:rowOff>
                  </from>
                  <to>
                    <xdr:col>2</xdr:col>
                    <xdr:colOff>704850</xdr:colOff>
                    <xdr:row>74</xdr:row>
                    <xdr:rowOff>190500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xdr:col>
                    <xdr:colOff>523875</xdr:colOff>
                    <xdr:row>75</xdr:row>
                    <xdr:rowOff>19050</xdr:rowOff>
                  </from>
                  <to>
                    <xdr:col>2</xdr:col>
                    <xdr:colOff>704850</xdr:colOff>
                    <xdr:row>75</xdr:row>
                    <xdr:rowOff>180975</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2</xdr:col>
                    <xdr:colOff>523875</xdr:colOff>
                    <xdr:row>76</xdr:row>
                    <xdr:rowOff>0</xdr:rowOff>
                  </from>
                  <to>
                    <xdr:col>2</xdr:col>
                    <xdr:colOff>704850</xdr:colOff>
                    <xdr:row>76</xdr:row>
                    <xdr:rowOff>180975</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2</xdr:col>
                    <xdr:colOff>523875</xdr:colOff>
                    <xdr:row>77</xdr:row>
                    <xdr:rowOff>9525</xdr:rowOff>
                  </from>
                  <to>
                    <xdr:col>2</xdr:col>
                    <xdr:colOff>704850</xdr:colOff>
                    <xdr:row>77</xdr:row>
                    <xdr:rowOff>190500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18</xdr:col>
                    <xdr:colOff>457200</xdr:colOff>
                    <xdr:row>82</xdr:row>
                    <xdr:rowOff>0</xdr:rowOff>
                  </from>
                  <to>
                    <xdr:col>18</xdr:col>
                    <xdr:colOff>676275</xdr:colOff>
                    <xdr:row>82</xdr:row>
                    <xdr:rowOff>180975</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18</xdr:col>
                    <xdr:colOff>571500</xdr:colOff>
                    <xdr:row>83</xdr:row>
                    <xdr:rowOff>19050</xdr:rowOff>
                  </from>
                  <to>
                    <xdr:col>19</xdr:col>
                    <xdr:colOff>0</xdr:colOff>
                    <xdr:row>84</xdr:row>
                    <xdr:rowOff>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18</xdr:col>
                    <xdr:colOff>571500</xdr:colOff>
                    <xdr:row>84</xdr:row>
                    <xdr:rowOff>19050</xdr:rowOff>
                  </from>
                  <to>
                    <xdr:col>19</xdr:col>
                    <xdr:colOff>0</xdr:colOff>
                    <xdr:row>85</xdr:row>
                    <xdr:rowOff>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18</xdr:col>
                    <xdr:colOff>571500</xdr:colOff>
                    <xdr:row>85</xdr:row>
                    <xdr:rowOff>9525</xdr:rowOff>
                  </from>
                  <to>
                    <xdr:col>19</xdr:col>
                    <xdr:colOff>0</xdr:colOff>
                    <xdr:row>85</xdr:row>
                    <xdr:rowOff>190500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18</xdr:col>
                    <xdr:colOff>457200</xdr:colOff>
                    <xdr:row>80</xdr:row>
                    <xdr:rowOff>9525</xdr:rowOff>
                  </from>
                  <to>
                    <xdr:col>18</xdr:col>
                    <xdr:colOff>676275</xdr:colOff>
                    <xdr:row>81</xdr:row>
                    <xdr:rowOff>9525</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18</xdr:col>
                    <xdr:colOff>457200</xdr:colOff>
                    <xdr:row>79</xdr:row>
                    <xdr:rowOff>0</xdr:rowOff>
                  </from>
                  <to>
                    <xdr:col>18</xdr:col>
                    <xdr:colOff>676275</xdr:colOff>
                    <xdr:row>80</xdr:row>
                    <xdr:rowOff>9525</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18</xdr:col>
                    <xdr:colOff>457200</xdr:colOff>
                    <xdr:row>81</xdr:row>
                    <xdr:rowOff>9525</xdr:rowOff>
                  </from>
                  <to>
                    <xdr:col>18</xdr:col>
                    <xdr:colOff>676275</xdr:colOff>
                    <xdr:row>82</xdr:row>
                    <xdr:rowOff>0</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10</xdr:col>
                    <xdr:colOff>514350</xdr:colOff>
                    <xdr:row>79</xdr:row>
                    <xdr:rowOff>152400</xdr:rowOff>
                  </from>
                  <to>
                    <xdr:col>10</xdr:col>
                    <xdr:colOff>723900</xdr:colOff>
                    <xdr:row>81</xdr:row>
                    <xdr:rowOff>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10</xdr:col>
                    <xdr:colOff>514350</xdr:colOff>
                    <xdr:row>80</xdr:row>
                    <xdr:rowOff>171450</xdr:rowOff>
                  </from>
                  <to>
                    <xdr:col>10</xdr:col>
                    <xdr:colOff>723900</xdr:colOff>
                    <xdr:row>81</xdr:row>
                    <xdr:rowOff>190500</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10</xdr:col>
                    <xdr:colOff>514350</xdr:colOff>
                    <xdr:row>81</xdr:row>
                    <xdr:rowOff>180975</xdr:rowOff>
                  </from>
                  <to>
                    <xdr:col>10</xdr:col>
                    <xdr:colOff>723900</xdr:colOff>
                    <xdr:row>82</xdr:row>
                    <xdr:rowOff>190500</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10</xdr:col>
                    <xdr:colOff>514350</xdr:colOff>
                    <xdr:row>82</xdr:row>
                    <xdr:rowOff>180975</xdr:rowOff>
                  </from>
                  <to>
                    <xdr:col>10</xdr:col>
                    <xdr:colOff>723900</xdr:colOff>
                    <xdr:row>84</xdr:row>
                    <xdr:rowOff>0</xdr:rowOff>
                  </to>
                </anchor>
              </controlPr>
            </control>
          </mc:Choice>
        </mc:AlternateContent>
        <mc:AlternateContent xmlns:mc="http://schemas.openxmlformats.org/markup-compatibility/2006">
          <mc:Choice Requires="x14">
            <control shapeId="66579" r:id="rId22" name="Check Box 19">
              <controlPr defaultSize="0" autoFill="0" autoLine="0" autoPict="0">
                <anchor moveWithCells="1">
                  <from>
                    <xdr:col>10</xdr:col>
                    <xdr:colOff>514350</xdr:colOff>
                    <xdr:row>83</xdr:row>
                    <xdr:rowOff>180975</xdr:rowOff>
                  </from>
                  <to>
                    <xdr:col>10</xdr:col>
                    <xdr:colOff>723900</xdr:colOff>
                    <xdr:row>85</xdr:row>
                    <xdr:rowOff>0</xdr:rowOff>
                  </to>
                </anchor>
              </controlPr>
            </control>
          </mc:Choice>
        </mc:AlternateContent>
        <mc:AlternateContent xmlns:mc="http://schemas.openxmlformats.org/markup-compatibility/2006">
          <mc:Choice Requires="x14">
            <control shapeId="66580" r:id="rId23" name="Check Box 20">
              <controlPr defaultSize="0" autoFill="0" autoLine="0" autoPict="0">
                <anchor moveWithCells="1">
                  <from>
                    <xdr:col>10</xdr:col>
                    <xdr:colOff>514350</xdr:colOff>
                    <xdr:row>84</xdr:row>
                    <xdr:rowOff>180975</xdr:rowOff>
                  </from>
                  <to>
                    <xdr:col>10</xdr:col>
                    <xdr:colOff>723900</xdr:colOff>
                    <xdr:row>86</xdr:row>
                    <xdr:rowOff>0</xdr:rowOff>
                  </to>
                </anchor>
              </controlPr>
            </control>
          </mc:Choice>
        </mc:AlternateContent>
        <mc:AlternateContent xmlns:mc="http://schemas.openxmlformats.org/markup-compatibility/2006">
          <mc:Choice Requires="x14">
            <control shapeId="66581" r:id="rId24" name="Check Box 21">
              <controlPr defaultSize="0" autoFill="0" autoLine="0" autoPict="0">
                <anchor moveWithCells="1">
                  <from>
                    <xdr:col>10</xdr:col>
                    <xdr:colOff>514350</xdr:colOff>
                    <xdr:row>85</xdr:row>
                    <xdr:rowOff>180975</xdr:rowOff>
                  </from>
                  <to>
                    <xdr:col>10</xdr:col>
                    <xdr:colOff>723900</xdr:colOff>
                    <xdr:row>87</xdr:row>
                    <xdr:rowOff>0</xdr:rowOff>
                  </to>
                </anchor>
              </controlPr>
            </control>
          </mc:Choice>
        </mc:AlternateContent>
        <mc:AlternateContent xmlns:mc="http://schemas.openxmlformats.org/markup-compatibility/2006">
          <mc:Choice Requires="x14">
            <control shapeId="66582" r:id="rId25" name="Check Box 22">
              <controlPr defaultSize="0" autoFill="0" autoLine="0" autoPict="0">
                <anchor moveWithCells="1">
                  <from>
                    <xdr:col>10</xdr:col>
                    <xdr:colOff>514350</xdr:colOff>
                    <xdr:row>86</xdr:row>
                    <xdr:rowOff>190500</xdr:rowOff>
                  </from>
                  <to>
                    <xdr:col>10</xdr:col>
                    <xdr:colOff>723900</xdr:colOff>
                    <xdr:row>87</xdr:row>
                    <xdr:rowOff>190500</xdr:rowOff>
                  </to>
                </anchor>
              </controlPr>
            </control>
          </mc:Choice>
        </mc:AlternateContent>
        <mc:AlternateContent xmlns:mc="http://schemas.openxmlformats.org/markup-compatibility/2006">
          <mc:Choice Requires="x14">
            <control shapeId="66583" r:id="rId26" name="Check Box 23">
              <controlPr defaultSize="0" autoFill="0" autoLine="0" autoPict="0">
                <anchor moveWithCells="1">
                  <from>
                    <xdr:col>10</xdr:col>
                    <xdr:colOff>514350</xdr:colOff>
                    <xdr:row>87</xdr:row>
                    <xdr:rowOff>180975</xdr:rowOff>
                  </from>
                  <to>
                    <xdr:col>10</xdr:col>
                    <xdr:colOff>723900</xdr:colOff>
                    <xdr:row>88</xdr:row>
                    <xdr:rowOff>190500</xdr:rowOff>
                  </to>
                </anchor>
              </controlPr>
            </control>
          </mc:Choice>
        </mc:AlternateContent>
        <mc:AlternateContent xmlns:mc="http://schemas.openxmlformats.org/markup-compatibility/2006">
          <mc:Choice Requires="x14">
            <control shapeId="66584" r:id="rId27" name="Check Box 24">
              <controlPr defaultSize="0" autoFill="0" autoLine="0" autoPict="0">
                <anchor moveWithCells="1">
                  <from>
                    <xdr:col>10</xdr:col>
                    <xdr:colOff>514350</xdr:colOff>
                    <xdr:row>88</xdr:row>
                    <xdr:rowOff>171450</xdr:rowOff>
                  </from>
                  <to>
                    <xdr:col>10</xdr:col>
                    <xdr:colOff>723900</xdr:colOff>
                    <xdr:row>89</xdr:row>
                    <xdr:rowOff>180975</xdr:rowOff>
                  </to>
                </anchor>
              </controlPr>
            </control>
          </mc:Choice>
        </mc:AlternateContent>
        <mc:AlternateContent xmlns:mc="http://schemas.openxmlformats.org/markup-compatibility/2006">
          <mc:Choice Requires="x14">
            <control shapeId="66585" r:id="rId28" name="Check Box 25">
              <controlPr defaultSize="0" autoFill="0" autoLine="0" autoPict="0">
                <anchor moveWithCells="1">
                  <from>
                    <xdr:col>10</xdr:col>
                    <xdr:colOff>514350</xdr:colOff>
                    <xdr:row>89</xdr:row>
                    <xdr:rowOff>171450</xdr:rowOff>
                  </from>
                  <to>
                    <xdr:col>10</xdr:col>
                    <xdr:colOff>723900</xdr:colOff>
                    <xdr:row>90</xdr:row>
                    <xdr:rowOff>180975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AEE3-7A99-4793-BFF5-84A4127653E5}">
  <sheetPr>
    <pageSetUpPr fitToPage="1"/>
  </sheetPr>
  <dimension ref="B2:AA292"/>
  <sheetViews>
    <sheetView zoomScale="90" zoomScaleNormal="90" workbookViewId="0">
      <selection activeCell="G16" sqref="G16"/>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3" x14ac:dyDescent="0.2">
      <c r="B2" s="3"/>
      <c r="C2" s="89"/>
      <c r="D2" s="89"/>
      <c r="E2" s="89"/>
      <c r="F2" s="89"/>
      <c r="G2" s="89"/>
      <c r="H2" s="89"/>
      <c r="I2" s="89"/>
      <c r="J2" s="89"/>
      <c r="K2" s="89"/>
      <c r="L2" s="89"/>
      <c r="M2" s="3"/>
    </row>
    <row r="3" spans="2:13" ht="18" x14ac:dyDescent="0.25">
      <c r="B3" s="3"/>
      <c r="C3" s="89"/>
      <c r="D3" s="90" t="s">
        <v>254</v>
      </c>
      <c r="E3" s="89"/>
      <c r="F3" s="89"/>
      <c r="G3" s="89"/>
      <c r="H3" s="89"/>
      <c r="I3" s="89"/>
      <c r="J3" s="89"/>
      <c r="K3" s="89"/>
      <c r="L3" s="89"/>
      <c r="M3" s="3"/>
    </row>
    <row r="4" spans="2:13" x14ac:dyDescent="0.2">
      <c r="B4" s="3"/>
      <c r="C4" s="89"/>
      <c r="D4" s="3"/>
      <c r="E4" s="3"/>
      <c r="F4" s="3"/>
      <c r="G4" s="3"/>
      <c r="H4" s="3"/>
      <c r="I4" s="3"/>
      <c r="J4" s="3"/>
      <c r="K4" s="3"/>
      <c r="L4" s="3"/>
      <c r="M4" s="3"/>
    </row>
    <row r="5" spans="2:13" ht="16.5" customHeight="1" x14ac:dyDescent="0.2">
      <c r="B5" s="3"/>
      <c r="C5" s="89"/>
      <c r="D5" s="108" t="s">
        <v>327</v>
      </c>
      <c r="E5" s="103"/>
      <c r="F5" s="103"/>
      <c r="G5" s="103"/>
      <c r="H5" s="103"/>
      <c r="I5" s="103"/>
      <c r="J5" s="103"/>
      <c r="K5" s="103"/>
      <c r="L5" s="103"/>
      <c r="M5" s="3"/>
    </row>
    <row r="6" spans="2:13" ht="266.25" customHeight="1" x14ac:dyDescent="0.2">
      <c r="B6" s="3"/>
      <c r="C6" s="93"/>
      <c r="D6" s="386" t="s">
        <v>332</v>
      </c>
      <c r="E6" s="386"/>
      <c r="F6" s="386"/>
      <c r="G6" s="386"/>
      <c r="H6" s="386"/>
      <c r="I6" s="386"/>
      <c r="J6" s="386"/>
      <c r="K6" s="386"/>
      <c r="L6" s="386"/>
      <c r="M6" s="3"/>
    </row>
    <row r="7" spans="2:13" x14ac:dyDescent="0.2">
      <c r="B7" s="3"/>
      <c r="C7" s="89"/>
      <c r="D7" s="89"/>
      <c r="E7" s="89"/>
      <c r="F7" s="89"/>
      <c r="G7" s="89"/>
      <c r="H7" s="89"/>
      <c r="I7" s="89"/>
      <c r="J7" s="89"/>
      <c r="K7" s="89"/>
      <c r="L7" s="89"/>
      <c r="M7" s="3"/>
    </row>
    <row r="9" spans="2:13" x14ac:dyDescent="0.2">
      <c r="B9" s="3"/>
      <c r="C9" s="3"/>
      <c r="D9" s="3"/>
      <c r="E9" s="3"/>
      <c r="F9" s="3"/>
      <c r="G9" s="3"/>
      <c r="H9" s="3"/>
      <c r="I9" s="3"/>
      <c r="J9" s="3"/>
      <c r="K9" s="3"/>
      <c r="L9" s="3"/>
      <c r="M9" s="3"/>
    </row>
    <row r="10" spans="2:13" x14ac:dyDescent="0.2">
      <c r="B10" s="3"/>
      <c r="C10" s="3"/>
      <c r="D10" s="3"/>
      <c r="E10" s="3"/>
      <c r="F10" s="3"/>
      <c r="G10" s="3"/>
      <c r="H10" s="3"/>
      <c r="I10" s="3"/>
      <c r="J10" s="3"/>
      <c r="K10" s="3"/>
      <c r="L10" s="3"/>
      <c r="M10" s="3"/>
    </row>
    <row r="11" spans="2:13" ht="18" x14ac:dyDescent="0.25">
      <c r="B11" s="3"/>
      <c r="C11" s="3"/>
      <c r="D11" s="85" t="s">
        <v>331</v>
      </c>
      <c r="E11" s="94"/>
      <c r="F11" s="95"/>
      <c r="G11" s="7"/>
      <c r="H11" s="7"/>
      <c r="I11" s="7"/>
      <c r="J11" s="7"/>
      <c r="K11" s="7"/>
      <c r="L11" s="3"/>
      <c r="M11" s="3"/>
    </row>
    <row r="12" spans="2:13" ht="15" x14ac:dyDescent="0.2">
      <c r="B12" s="3"/>
      <c r="C12" s="3"/>
      <c r="D12" s="389"/>
      <c r="E12" s="389"/>
      <c r="F12" s="389"/>
      <c r="G12" s="389"/>
      <c r="H12" s="389"/>
      <c r="I12" s="389"/>
      <c r="J12" s="389"/>
      <c r="K12" s="7"/>
      <c r="L12" s="3"/>
      <c r="M12" s="3"/>
    </row>
    <row r="13" spans="2:13" ht="14.25" customHeight="1" x14ac:dyDescent="0.2">
      <c r="B13" s="3"/>
      <c r="C13" s="3"/>
      <c r="D13" s="313"/>
      <c r="E13" s="388">
        <v>2020</v>
      </c>
      <c r="F13" s="388"/>
      <c r="G13" s="388"/>
      <c r="H13" s="313"/>
      <c r="I13" s="313"/>
      <c r="J13" s="313"/>
      <c r="K13" s="7"/>
      <c r="L13" s="3"/>
      <c r="M13" s="3"/>
    </row>
    <row r="14" spans="2:13" ht="14.25" x14ac:dyDescent="0.2">
      <c r="B14" s="3"/>
      <c r="C14" s="3"/>
      <c r="D14" s="8"/>
      <c r="E14" s="101" t="s">
        <v>83</v>
      </c>
      <c r="F14" s="101"/>
      <c r="G14" s="101" t="s">
        <v>80</v>
      </c>
      <c r="H14" s="7"/>
      <c r="I14" s="7"/>
      <c r="J14" s="7"/>
      <c r="K14" s="7"/>
      <c r="L14" s="3"/>
      <c r="M14" s="3"/>
    </row>
    <row r="15" spans="2:13" ht="14.25" x14ac:dyDescent="0.2">
      <c r="B15" s="3"/>
      <c r="C15" s="3"/>
      <c r="D15" s="3"/>
      <c r="E15" s="3"/>
      <c r="F15" s="3"/>
      <c r="G15" s="3"/>
      <c r="H15" s="7"/>
      <c r="I15" s="7"/>
      <c r="J15" s="7"/>
      <c r="K15" s="7"/>
      <c r="L15" s="3"/>
      <c r="M15" s="3"/>
    </row>
    <row r="16" spans="2:13" ht="14.25" x14ac:dyDescent="0.2">
      <c r="B16" s="3"/>
      <c r="C16" s="3"/>
      <c r="D16" s="314" t="s">
        <v>258</v>
      </c>
      <c r="E16" s="1" t="s">
        <v>34</v>
      </c>
      <c r="F16" s="15"/>
      <c r="G16" s="116"/>
      <c r="H16" s="7"/>
      <c r="I16" s="7"/>
      <c r="J16" s="7"/>
      <c r="K16" s="7"/>
      <c r="L16" s="3"/>
      <c r="M16" s="3"/>
    </row>
    <row r="17" spans="2:13" ht="14.25" x14ac:dyDescent="0.2">
      <c r="B17" s="3"/>
      <c r="C17" s="3"/>
      <c r="D17" s="7"/>
      <c r="E17" s="7"/>
      <c r="F17" s="7"/>
      <c r="G17" s="7"/>
      <c r="H17" s="7"/>
      <c r="I17" s="7"/>
      <c r="J17" s="7"/>
      <c r="K17" s="7"/>
      <c r="L17" s="3"/>
      <c r="M17" s="3"/>
    </row>
    <row r="18" spans="2:13" ht="14.25" x14ac:dyDescent="0.2">
      <c r="B18" s="3"/>
      <c r="C18" s="3"/>
      <c r="D18" s="7"/>
      <c r="E18" s="7"/>
      <c r="F18" s="7"/>
      <c r="G18" s="7"/>
      <c r="H18" s="7"/>
      <c r="I18" s="7"/>
      <c r="J18" s="7"/>
      <c r="K18" s="7"/>
      <c r="L18" s="3"/>
      <c r="M18" s="3"/>
    </row>
    <row r="19" spans="2:13" ht="14.25" customHeight="1" x14ac:dyDescent="0.2">
      <c r="B19" s="3"/>
      <c r="C19" s="3"/>
      <c r="D19" s="8"/>
      <c r="E19" s="388">
        <v>2025</v>
      </c>
      <c r="F19" s="388"/>
      <c r="G19" s="388"/>
      <c r="H19" s="13"/>
      <c r="I19" s="388">
        <v>2030</v>
      </c>
      <c r="J19" s="388"/>
      <c r="K19" s="388"/>
      <c r="L19" s="8"/>
      <c r="M19" s="3"/>
    </row>
    <row r="20" spans="2:13" x14ac:dyDescent="0.2">
      <c r="B20" s="3"/>
      <c r="C20" s="3"/>
      <c r="D20" s="8"/>
      <c r="E20" s="101" t="s">
        <v>83</v>
      </c>
      <c r="F20" s="101"/>
      <c r="G20" s="101" t="s">
        <v>80</v>
      </c>
      <c r="H20" s="13"/>
      <c r="I20" s="101" t="s">
        <v>83</v>
      </c>
      <c r="J20" s="101"/>
      <c r="K20" s="101" t="s">
        <v>80</v>
      </c>
      <c r="L20" s="8"/>
      <c r="M20" s="3"/>
    </row>
    <row r="21" spans="2:13" ht="38.25" x14ac:dyDescent="0.2">
      <c r="B21" s="3"/>
      <c r="C21" s="3"/>
      <c r="D21" s="11" t="s">
        <v>256</v>
      </c>
      <c r="E21" s="79">
        <v>5</v>
      </c>
      <c r="F21" s="15" t="s">
        <v>102</v>
      </c>
      <c r="G21" s="116"/>
      <c r="H21" s="15" t="s">
        <v>102</v>
      </c>
      <c r="I21" s="79">
        <v>5</v>
      </c>
      <c r="J21" s="15" t="s">
        <v>102</v>
      </c>
      <c r="K21" s="116"/>
      <c r="L21" s="15" t="s">
        <v>102</v>
      </c>
      <c r="M21" s="3"/>
    </row>
    <row r="22" spans="2:13" x14ac:dyDescent="0.2">
      <c r="B22" s="3"/>
      <c r="C22" s="3"/>
      <c r="D22" s="3"/>
      <c r="E22" s="3"/>
      <c r="F22" s="3"/>
      <c r="G22" s="3"/>
      <c r="H22" s="15"/>
      <c r="I22" s="15"/>
      <c r="J22" s="15"/>
      <c r="K22" s="15"/>
      <c r="L22" s="15"/>
      <c r="M22" s="3"/>
    </row>
    <row r="23" spans="2:13" x14ac:dyDescent="0.2">
      <c r="B23" s="3"/>
      <c r="C23" s="3"/>
      <c r="D23" s="8"/>
      <c r="E23" s="80"/>
      <c r="F23" s="15"/>
      <c r="G23" s="15"/>
      <c r="H23" s="15"/>
      <c r="I23" s="80"/>
      <c r="J23" s="15"/>
      <c r="K23" s="15"/>
      <c r="L23" s="3"/>
      <c r="M23" s="3"/>
    </row>
    <row r="24" spans="2:13" x14ac:dyDescent="0.2">
      <c r="B24" s="3"/>
      <c r="C24" s="3"/>
      <c r="D24" s="12" t="s">
        <v>223</v>
      </c>
      <c r="E24" s="79">
        <v>10000</v>
      </c>
      <c r="F24" s="15" t="s">
        <v>108</v>
      </c>
      <c r="G24" s="300"/>
      <c r="H24" s="15" t="s">
        <v>108</v>
      </c>
      <c r="I24" s="79">
        <v>0</v>
      </c>
      <c r="J24" s="15" t="s">
        <v>108</v>
      </c>
      <c r="K24" s="300"/>
      <c r="L24" s="3" t="s">
        <v>108</v>
      </c>
      <c r="M24" s="3"/>
    </row>
    <row r="25" spans="2:13" ht="14.25" x14ac:dyDescent="0.2">
      <c r="B25" s="3"/>
      <c r="C25" s="3"/>
      <c r="D25" s="78" t="s">
        <v>227</v>
      </c>
      <c r="E25" s="79">
        <v>0</v>
      </c>
      <c r="F25" s="15" t="s">
        <v>109</v>
      </c>
      <c r="G25" s="300"/>
      <c r="H25" s="15" t="s">
        <v>109</v>
      </c>
      <c r="I25" s="79">
        <v>0</v>
      </c>
      <c r="J25" s="15" t="s">
        <v>109</v>
      </c>
      <c r="K25" s="300"/>
      <c r="L25" s="3" t="s">
        <v>109</v>
      </c>
      <c r="M25" s="3"/>
    </row>
    <row r="26" spans="2:13" ht="14.25" x14ac:dyDescent="0.2">
      <c r="B26" s="3"/>
      <c r="C26" s="3"/>
      <c r="D26" s="78" t="s">
        <v>192</v>
      </c>
      <c r="E26" s="79">
        <v>0</v>
      </c>
      <c r="F26" s="15" t="s">
        <v>108</v>
      </c>
      <c r="G26" s="300"/>
      <c r="H26" s="15" t="s">
        <v>108</v>
      </c>
      <c r="I26" s="79">
        <v>0</v>
      </c>
      <c r="J26" s="15" t="s">
        <v>108</v>
      </c>
      <c r="K26" s="300"/>
      <c r="L26" s="3" t="s">
        <v>108</v>
      </c>
      <c r="M26" s="3"/>
    </row>
    <row r="27" spans="2:13" x14ac:dyDescent="0.2">
      <c r="B27" s="3"/>
      <c r="C27" s="3"/>
      <c r="D27" s="78"/>
      <c r="E27" s="78"/>
      <c r="F27" s="78"/>
      <c r="G27" s="78"/>
      <c r="H27" s="78"/>
      <c r="I27" s="78"/>
      <c r="J27" s="78"/>
      <c r="K27" s="78"/>
      <c r="L27" s="78"/>
      <c r="M27" s="3"/>
    </row>
    <row r="28" spans="2:13" x14ac:dyDescent="0.2">
      <c r="B28" s="3"/>
      <c r="C28" s="3"/>
      <c r="D28" s="78"/>
      <c r="E28" s="15"/>
      <c r="F28" s="15"/>
      <c r="G28" s="15"/>
      <c r="H28" s="15"/>
      <c r="I28" s="15"/>
      <c r="J28" s="15"/>
      <c r="K28" s="15"/>
      <c r="L28" s="15"/>
      <c r="M28" s="3"/>
    </row>
    <row r="29" spans="2:13" x14ac:dyDescent="0.2">
      <c r="B29" s="3"/>
      <c r="C29" s="3"/>
      <c r="D29" s="78" t="s">
        <v>25</v>
      </c>
      <c r="E29" s="79">
        <v>10</v>
      </c>
      <c r="F29" s="15" t="s">
        <v>101</v>
      </c>
      <c r="G29" s="116"/>
      <c r="H29" s="15" t="s">
        <v>101</v>
      </c>
      <c r="I29" s="79">
        <v>10</v>
      </c>
      <c r="J29" s="15" t="s">
        <v>101</v>
      </c>
      <c r="K29" s="116"/>
      <c r="L29" s="15" t="s">
        <v>101</v>
      </c>
      <c r="M29" s="3"/>
    </row>
    <row r="30" spans="2:13" x14ac:dyDescent="0.2">
      <c r="B30" s="3"/>
      <c r="C30" s="3"/>
      <c r="D30" s="78" t="s">
        <v>26</v>
      </c>
      <c r="E30" s="81">
        <v>8</v>
      </c>
      <c r="F30" s="15" t="s">
        <v>102</v>
      </c>
      <c r="G30" s="301"/>
      <c r="H30" s="15" t="s">
        <v>102</v>
      </c>
      <c r="I30" s="81">
        <v>8</v>
      </c>
      <c r="J30" s="15" t="s">
        <v>102</v>
      </c>
      <c r="K30" s="301"/>
      <c r="L30" s="15" t="s">
        <v>102</v>
      </c>
      <c r="M30" s="3"/>
    </row>
    <row r="31" spans="2:13" x14ac:dyDescent="0.2">
      <c r="B31" s="3"/>
      <c r="C31" s="3"/>
      <c r="D31" s="15"/>
      <c r="E31" s="81"/>
      <c r="F31" s="15"/>
      <c r="G31" s="15"/>
      <c r="H31" s="15"/>
      <c r="I31" s="80"/>
      <c r="J31" s="15"/>
      <c r="K31" s="15"/>
      <c r="L31" s="3"/>
      <c r="M31" s="3"/>
    </row>
    <row r="32" spans="2:13" x14ac:dyDescent="0.2">
      <c r="B32" s="3"/>
      <c r="C32" s="3"/>
      <c r="D32" s="15"/>
      <c r="E32" s="10"/>
      <c r="F32" s="3"/>
      <c r="G32" s="3"/>
      <c r="H32" s="3"/>
      <c r="I32" s="16"/>
      <c r="J32" s="3"/>
      <c r="K32" s="3"/>
      <c r="L32" s="3"/>
      <c r="M32" s="3"/>
    </row>
    <row r="33" spans="2:27" ht="13.5" x14ac:dyDescent="0.2">
      <c r="B33" s="3"/>
      <c r="C33" s="3"/>
      <c r="D33" s="65" t="s">
        <v>255</v>
      </c>
      <c r="E33" s="10"/>
      <c r="F33" s="3"/>
      <c r="G33" s="3"/>
      <c r="H33" s="3"/>
      <c r="I33" s="16"/>
      <c r="J33" s="3"/>
      <c r="K33" s="3"/>
      <c r="L33" s="3"/>
      <c r="M33" s="3"/>
    </row>
    <row r="34" spans="2:27" ht="13.5" x14ac:dyDescent="0.2">
      <c r="B34" s="3"/>
      <c r="C34" s="3"/>
      <c r="D34" s="65" t="s">
        <v>216</v>
      </c>
      <c r="E34" s="10"/>
      <c r="F34" s="3"/>
      <c r="G34" s="3"/>
      <c r="H34" s="3"/>
      <c r="I34" s="16"/>
      <c r="J34" s="3"/>
      <c r="K34" s="3"/>
      <c r="L34" s="3"/>
      <c r="M34" s="3"/>
    </row>
    <row r="35" spans="2:27" x14ac:dyDescent="0.2">
      <c r="B35" s="3"/>
      <c r="C35" s="3"/>
      <c r="D35" s="15"/>
      <c r="E35" s="10"/>
      <c r="F35" s="3"/>
      <c r="G35" s="3"/>
      <c r="H35" s="3"/>
      <c r="I35" s="16"/>
      <c r="J35" s="3"/>
      <c r="K35" s="3"/>
      <c r="L35" s="3"/>
      <c r="M35" s="3"/>
    </row>
    <row r="37" spans="2:27" x14ac:dyDescent="0.2">
      <c r="B37" s="3"/>
      <c r="C37" s="3"/>
      <c r="D37" s="14"/>
      <c r="E37" s="3"/>
      <c r="F37" s="3"/>
      <c r="G37" s="3"/>
      <c r="H37" s="3"/>
      <c r="I37" s="3"/>
      <c r="J37" s="3"/>
      <c r="K37" s="3"/>
      <c r="L37" s="3"/>
      <c r="M37" s="3"/>
      <c r="N37" s="3"/>
      <c r="O37" s="3"/>
      <c r="P37" s="3"/>
      <c r="Q37" s="3"/>
      <c r="R37" s="3"/>
      <c r="S37" s="3"/>
      <c r="T37" s="3"/>
      <c r="U37" s="3"/>
      <c r="V37" s="3"/>
      <c r="W37" s="3"/>
      <c r="X37" s="3"/>
      <c r="Y37" s="3"/>
      <c r="Z37" s="3"/>
      <c r="AA37" s="3"/>
    </row>
    <row r="38" spans="2:27" ht="18" x14ac:dyDescent="0.25">
      <c r="B38" s="3"/>
      <c r="C38" s="96" t="s">
        <v>462</v>
      </c>
      <c r="D38" s="14"/>
      <c r="E38" s="3"/>
      <c r="F38" s="3"/>
      <c r="G38" s="3"/>
      <c r="H38" s="3"/>
      <c r="I38" s="3"/>
      <c r="J38" s="3"/>
      <c r="K38" s="3"/>
      <c r="L38" s="3"/>
      <c r="M38" s="3"/>
      <c r="N38" s="3"/>
      <c r="O38" s="3"/>
      <c r="P38" s="3"/>
      <c r="Q38" s="3"/>
      <c r="R38" s="3"/>
      <c r="S38" s="3"/>
      <c r="T38" s="3"/>
      <c r="U38" s="3"/>
      <c r="V38" s="3"/>
      <c r="W38" s="3"/>
      <c r="X38" s="3"/>
      <c r="Y38" s="3"/>
      <c r="Z38" s="3"/>
      <c r="AA38" s="3"/>
    </row>
    <row r="39" spans="2:27" x14ac:dyDescent="0.2">
      <c r="B39" s="3"/>
      <c r="C39" s="3"/>
      <c r="D39" s="14"/>
      <c r="E39" s="3"/>
      <c r="F39" s="3"/>
      <c r="G39" s="3"/>
      <c r="H39" s="3"/>
      <c r="I39" s="3"/>
      <c r="J39" s="3"/>
      <c r="K39" s="3"/>
      <c r="L39" s="3"/>
      <c r="M39" s="3"/>
      <c r="N39" s="3"/>
      <c r="O39" s="3"/>
      <c r="P39" s="3"/>
      <c r="Q39" s="3"/>
      <c r="R39" s="3"/>
      <c r="S39" s="3"/>
      <c r="T39" s="3"/>
      <c r="U39" s="3"/>
      <c r="V39" s="3"/>
      <c r="W39" s="3"/>
      <c r="X39" s="3"/>
      <c r="Y39" s="3"/>
      <c r="Z39" s="3"/>
      <c r="AA39" s="3"/>
    </row>
    <row r="40" spans="2:27" ht="15" x14ac:dyDescent="0.25">
      <c r="B40" s="3"/>
      <c r="C40" s="91" t="s">
        <v>115</v>
      </c>
      <c r="D40" s="3"/>
      <c r="E40" s="3"/>
      <c r="F40" s="3"/>
      <c r="G40" s="3"/>
      <c r="H40" s="3"/>
      <c r="I40" s="3"/>
      <c r="J40" s="3"/>
      <c r="K40" s="91" t="s">
        <v>119</v>
      </c>
      <c r="L40" s="3"/>
      <c r="M40" s="3"/>
      <c r="N40" s="3"/>
      <c r="O40" s="3"/>
      <c r="P40" s="3"/>
      <c r="Q40" s="3"/>
      <c r="R40" s="3"/>
      <c r="S40" s="92" t="s">
        <v>87</v>
      </c>
      <c r="T40" s="3"/>
      <c r="U40" s="3"/>
      <c r="V40" s="3"/>
      <c r="W40" s="3"/>
      <c r="X40" s="3"/>
      <c r="Y40" s="3"/>
      <c r="Z40" s="3"/>
      <c r="AA40" s="3"/>
    </row>
    <row r="41" spans="2:27" x14ac:dyDescent="0.2">
      <c r="B41" s="3"/>
      <c r="C41" s="3"/>
      <c r="D41" s="14"/>
      <c r="E41" s="3"/>
      <c r="F41" s="3"/>
      <c r="G41" s="3"/>
      <c r="H41" s="3"/>
      <c r="I41" s="3"/>
      <c r="J41" s="3"/>
      <c r="K41" s="3"/>
      <c r="L41" s="3"/>
      <c r="M41" s="3"/>
      <c r="N41" s="3"/>
      <c r="O41" s="3"/>
      <c r="P41" s="3"/>
      <c r="Q41" s="3"/>
      <c r="R41" s="3"/>
      <c r="S41" s="3"/>
      <c r="T41" s="3"/>
      <c r="U41" s="3"/>
      <c r="V41" s="3"/>
      <c r="W41" s="3"/>
      <c r="X41" s="3"/>
      <c r="Y41" s="3"/>
      <c r="Z41" s="3"/>
      <c r="AA41" s="3"/>
    </row>
    <row r="42" spans="2:27" x14ac:dyDescent="0.2">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x14ac:dyDescent="0.2">
      <c r="B43" s="3"/>
      <c r="C43" s="3"/>
      <c r="D43" s="3"/>
      <c r="E43" s="3"/>
      <c r="F43" s="3"/>
      <c r="G43" s="3"/>
      <c r="H43" s="3"/>
      <c r="I43" s="3"/>
      <c r="J43" s="3"/>
      <c r="K43" s="3"/>
      <c r="L43" s="3"/>
      <c r="M43" s="3"/>
      <c r="N43" s="3"/>
      <c r="O43" s="3"/>
      <c r="P43" s="3"/>
      <c r="Q43" s="3"/>
      <c r="R43" s="3"/>
      <c r="S43" s="3"/>
      <c r="T43" s="3"/>
      <c r="U43" s="3"/>
      <c r="V43" s="3"/>
      <c r="W43" s="3"/>
      <c r="X43" s="3"/>
      <c r="Y43" s="3"/>
      <c r="Z43" s="3"/>
      <c r="AA43" s="3"/>
    </row>
    <row r="44" spans="2:27" x14ac:dyDescent="0.2">
      <c r="B44" s="3"/>
      <c r="C44" s="3"/>
      <c r="D44" s="3"/>
      <c r="E44" s="3"/>
      <c r="F44" s="3"/>
      <c r="G44" s="3"/>
      <c r="H44" s="3"/>
      <c r="I44" s="3"/>
      <c r="J44" s="3"/>
      <c r="K44" s="3"/>
      <c r="L44" s="3"/>
      <c r="M44" s="3"/>
      <c r="N44" s="3"/>
      <c r="O44" s="3"/>
      <c r="P44" s="3"/>
      <c r="Q44" s="3"/>
      <c r="R44" s="3"/>
      <c r="S44" s="3"/>
      <c r="T44" s="3"/>
      <c r="U44" s="3"/>
      <c r="V44" s="3"/>
      <c r="W44" s="3"/>
      <c r="X44" s="3"/>
      <c r="Y44" s="3"/>
      <c r="Z44" s="3"/>
      <c r="AA44" s="3"/>
    </row>
    <row r="45" spans="2:27" x14ac:dyDescent="0.2">
      <c r="B45" s="3"/>
      <c r="C45" s="3"/>
      <c r="D45" s="3"/>
      <c r="E45" s="3"/>
      <c r="F45" s="3"/>
      <c r="G45" s="3"/>
      <c r="H45" s="3"/>
      <c r="I45" s="3"/>
      <c r="J45" s="3"/>
      <c r="K45" s="3"/>
      <c r="L45" s="3"/>
      <c r="M45" s="3"/>
      <c r="N45" s="3"/>
      <c r="O45" s="3"/>
      <c r="P45" s="3"/>
      <c r="Q45" s="3"/>
      <c r="R45" s="3"/>
      <c r="S45" s="3"/>
      <c r="T45" s="3"/>
      <c r="U45" s="3"/>
      <c r="V45" s="3"/>
      <c r="W45" s="3"/>
      <c r="X45" s="3"/>
      <c r="Y45" s="3"/>
      <c r="Z45" s="3"/>
      <c r="AA45" s="3"/>
    </row>
    <row r="46" spans="2:27" x14ac:dyDescent="0.2">
      <c r="B46" s="3"/>
      <c r="C46" s="3"/>
      <c r="D46" s="3"/>
      <c r="E46" s="3"/>
      <c r="F46" s="3"/>
      <c r="G46" s="3"/>
      <c r="H46" s="3"/>
      <c r="I46" s="3"/>
      <c r="J46" s="3"/>
      <c r="K46" s="3"/>
      <c r="L46" s="3"/>
      <c r="M46" s="3"/>
      <c r="N46" s="3"/>
      <c r="O46" s="3"/>
      <c r="P46" s="3"/>
      <c r="Q46" s="3"/>
      <c r="R46" s="3"/>
      <c r="S46" s="3"/>
      <c r="T46" s="3"/>
      <c r="U46" s="3"/>
      <c r="V46" s="3"/>
      <c r="W46" s="3"/>
      <c r="X46" s="3"/>
      <c r="Y46" s="3"/>
      <c r="Z46" s="3"/>
      <c r="AA46" s="3"/>
    </row>
    <row r="47" spans="2:27" x14ac:dyDescent="0.2">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3"/>
      <c r="E48" s="3"/>
      <c r="F48" s="3"/>
      <c r="G48" s="3"/>
      <c r="H48" s="3"/>
      <c r="I48" s="3"/>
      <c r="J48" s="3"/>
      <c r="K48" s="3"/>
      <c r="L48" s="3"/>
      <c r="M48" s="3"/>
      <c r="N48" s="3"/>
      <c r="O48" s="3"/>
      <c r="P48" s="3"/>
      <c r="Q48" s="3"/>
      <c r="R48" s="3"/>
      <c r="S48" s="3"/>
      <c r="T48" s="3"/>
      <c r="U48" s="3"/>
      <c r="V48" s="3"/>
      <c r="W48" s="3"/>
      <c r="X48" s="3"/>
      <c r="Y48" s="3"/>
      <c r="Z48" s="3"/>
      <c r="AA48" s="3"/>
    </row>
    <row r="49" spans="2:27" x14ac:dyDescent="0.2">
      <c r="B49" s="3"/>
      <c r="C49" s="3"/>
      <c r="D49" s="3"/>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x14ac:dyDescent="0.2">
      <c r="B66" s="3"/>
      <c r="C66" s="3"/>
      <c r="D66" s="3"/>
      <c r="E66" s="3"/>
      <c r="F66" s="3"/>
      <c r="G66" s="3"/>
      <c r="H66" s="3"/>
      <c r="I66" s="3"/>
      <c r="J66" s="3"/>
      <c r="K66" s="3"/>
      <c r="L66" s="3"/>
      <c r="M66" s="3"/>
      <c r="N66" s="3"/>
      <c r="O66" s="3"/>
      <c r="P66" s="3"/>
      <c r="Q66" s="3"/>
      <c r="R66" s="3"/>
      <c r="S66" s="3"/>
      <c r="T66" s="3"/>
      <c r="U66" s="3"/>
      <c r="V66" s="3"/>
      <c r="W66" s="3"/>
      <c r="X66" s="3"/>
      <c r="Y66" s="3"/>
      <c r="Z66" s="3"/>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3"/>
      <c r="Z67" s="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7" x14ac:dyDescent="0.2">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7" x14ac:dyDescent="0.2">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7" x14ac:dyDescent="0.2">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7" ht="15" customHeight="1" x14ac:dyDescent="0.25">
      <c r="B72" s="3"/>
      <c r="C72" s="96"/>
      <c r="D72" s="62"/>
      <c r="E72" s="3"/>
      <c r="F72" s="3"/>
      <c r="G72" s="3"/>
      <c r="H72" s="3"/>
      <c r="I72" s="3"/>
      <c r="J72" s="3"/>
      <c r="K72" s="3"/>
      <c r="L72" s="3"/>
      <c r="M72" s="3"/>
      <c r="N72" s="3"/>
      <c r="O72" s="3"/>
      <c r="P72" s="3"/>
      <c r="Q72" s="3"/>
      <c r="R72" s="3"/>
      <c r="S72" s="3"/>
      <c r="T72" s="3"/>
      <c r="U72" s="3"/>
      <c r="V72" s="3"/>
      <c r="W72" s="3"/>
      <c r="X72" s="3"/>
      <c r="Y72" s="84"/>
      <c r="Z72" s="84"/>
      <c r="AA72" s="3"/>
    </row>
    <row r="73" spans="2:27" x14ac:dyDescent="0.2">
      <c r="B73" s="3"/>
      <c r="C73" s="3"/>
      <c r="D73" s="3"/>
      <c r="E73" s="3"/>
      <c r="F73" s="3"/>
      <c r="G73" s="3"/>
      <c r="H73" s="3"/>
      <c r="I73" s="3"/>
      <c r="J73" s="3"/>
      <c r="K73" s="3"/>
      <c r="L73" s="3"/>
      <c r="M73" s="3"/>
      <c r="N73" s="3"/>
      <c r="O73" s="3"/>
      <c r="P73" s="3"/>
      <c r="Q73" s="3"/>
      <c r="R73" s="3"/>
      <c r="S73" s="3"/>
      <c r="T73" s="3"/>
      <c r="U73" s="3"/>
      <c r="V73" s="3"/>
      <c r="W73" s="3"/>
      <c r="X73" s="3"/>
      <c r="Y73" s="83"/>
      <c r="Z73" s="83"/>
      <c r="AA73" s="3"/>
    </row>
    <row r="74" spans="2:27" x14ac:dyDescent="0.2">
      <c r="B74" s="3"/>
      <c r="C74" s="3"/>
      <c r="D74" s="3"/>
      <c r="E74" s="3"/>
      <c r="F74" s="3"/>
      <c r="G74" s="3"/>
      <c r="H74" s="3"/>
      <c r="I74" s="3"/>
      <c r="J74" s="3"/>
      <c r="K74" s="3"/>
      <c r="L74" s="3"/>
      <c r="M74" s="3"/>
      <c r="N74" s="3"/>
      <c r="O74" s="3"/>
      <c r="P74" s="3"/>
      <c r="Q74" s="3"/>
      <c r="R74" s="3"/>
      <c r="S74" s="3"/>
      <c r="T74" s="3"/>
      <c r="U74" s="3"/>
      <c r="V74" s="3"/>
      <c r="W74" s="3"/>
      <c r="X74" s="3"/>
      <c r="Y74" s="83"/>
      <c r="Z74" s="83"/>
      <c r="AA74" s="3"/>
    </row>
    <row r="75" spans="2:27" ht="15" customHeight="1" x14ac:dyDescent="0.25">
      <c r="B75" s="3"/>
      <c r="C75" s="3"/>
      <c r="D75" s="23" t="s">
        <v>116</v>
      </c>
      <c r="E75" s="24"/>
      <c r="F75" s="24"/>
      <c r="G75" s="24"/>
      <c r="H75" s="24"/>
      <c r="I75" s="3"/>
      <c r="J75" s="3"/>
      <c r="K75" s="3"/>
      <c r="L75" s="23" t="s">
        <v>195</v>
      </c>
      <c r="M75" s="24"/>
      <c r="N75" s="24"/>
      <c r="O75" s="24"/>
      <c r="P75" s="24"/>
      <c r="Q75" s="3"/>
      <c r="R75" s="3"/>
      <c r="S75" s="3"/>
      <c r="T75" s="23" t="s">
        <v>200</v>
      </c>
      <c r="U75" s="24"/>
      <c r="V75" s="24"/>
      <c r="W75" s="24"/>
      <c r="X75" s="3"/>
      <c r="Y75" s="83"/>
      <c r="Z75" s="83"/>
      <c r="AA75" s="3"/>
    </row>
    <row r="76" spans="2:27" ht="15" customHeight="1" x14ac:dyDescent="0.25">
      <c r="B76" s="3"/>
      <c r="C76" s="387" t="s">
        <v>147</v>
      </c>
      <c r="D76" s="46"/>
      <c r="E76" s="46">
        <v>2020</v>
      </c>
      <c r="F76" s="47">
        <v>2025</v>
      </c>
      <c r="G76" s="47">
        <v>2030</v>
      </c>
      <c r="H76" s="34"/>
      <c r="I76" s="3"/>
      <c r="J76" s="3"/>
      <c r="K76" s="3"/>
      <c r="L76" s="34"/>
      <c r="M76" s="46">
        <v>2020</v>
      </c>
      <c r="N76" s="47">
        <v>2025</v>
      </c>
      <c r="O76" s="47">
        <v>2030</v>
      </c>
      <c r="P76" s="34"/>
      <c r="Q76" s="3"/>
      <c r="R76" s="3"/>
      <c r="S76" s="387" t="s">
        <v>147</v>
      </c>
      <c r="T76" s="34"/>
      <c r="U76" s="47">
        <v>2020</v>
      </c>
      <c r="V76" s="47">
        <v>2025</v>
      </c>
      <c r="W76" s="47">
        <v>2030</v>
      </c>
      <c r="X76" s="3"/>
      <c r="Y76" s="83"/>
      <c r="Z76" s="83"/>
      <c r="AA76" s="63"/>
    </row>
    <row r="77" spans="2:27" x14ac:dyDescent="0.2">
      <c r="B77" s="3"/>
      <c r="C77" s="387"/>
      <c r="D77" s="24"/>
      <c r="E77" s="48" t="s">
        <v>92</v>
      </c>
      <c r="F77" s="49"/>
      <c r="G77" s="49"/>
      <c r="H77" s="24"/>
      <c r="I77" s="3"/>
      <c r="J77" s="3"/>
      <c r="K77" s="3"/>
      <c r="L77" s="24"/>
      <c r="M77" s="48" t="s">
        <v>92</v>
      </c>
      <c r="N77" s="49"/>
      <c r="O77" s="49"/>
      <c r="P77" s="24"/>
      <c r="Q77" s="3"/>
      <c r="R77" s="3"/>
      <c r="S77" s="387"/>
      <c r="T77" s="24"/>
      <c r="U77" s="50" t="s">
        <v>92</v>
      </c>
      <c r="V77" s="50"/>
      <c r="W77" s="59"/>
      <c r="X77" s="3"/>
      <c r="Y77" s="83"/>
      <c r="Z77" s="83"/>
      <c r="AA77" s="63"/>
    </row>
    <row r="78" spans="2:27" ht="15.75" x14ac:dyDescent="0.3">
      <c r="B78" s="3"/>
      <c r="C78" s="3"/>
      <c r="D78" s="29" t="s">
        <v>32</v>
      </c>
      <c r="E78" s="32">
        <f>'Referenz Pflasterwerk'!$U$16+'Referenz Pflasterwerk'!U21</f>
        <v>8.2422000000000004</v>
      </c>
      <c r="F78" s="32">
        <f>J157+J162</f>
        <v>8.2422000000000004</v>
      </c>
      <c r="G78" s="32">
        <f>J233+J238</f>
        <v>8.2422000000000004</v>
      </c>
      <c r="H78" s="25" t="s">
        <v>164</v>
      </c>
      <c r="I78" s="3"/>
      <c r="J78" s="3"/>
      <c r="K78" s="3"/>
      <c r="L78" s="29" t="s">
        <v>118</v>
      </c>
      <c r="M78" s="26">
        <f>'Referenz Pflasterwerk'!Q74</f>
        <v>106.60088015999999</v>
      </c>
      <c r="N78" s="26">
        <f>F214</f>
        <v>106.60088015999999</v>
      </c>
      <c r="O78" s="26">
        <f>F290</f>
        <v>106.60088015999999</v>
      </c>
      <c r="P78" s="25" t="s">
        <v>164</v>
      </c>
      <c r="Q78" s="3"/>
      <c r="R78" s="3"/>
      <c r="S78" s="3"/>
      <c r="T78" s="57" t="s">
        <v>160</v>
      </c>
      <c r="U78" s="58">
        <f>SUM(U79:U85)</f>
        <v>172669</v>
      </c>
      <c r="V78" s="58">
        <f t="shared" ref="V78:W78" si="0">SUM(V79:V85)</f>
        <v>167509</v>
      </c>
      <c r="W78" s="58">
        <f t="shared" si="0"/>
        <v>167509</v>
      </c>
      <c r="X78" s="3"/>
      <c r="Y78" s="115"/>
      <c r="Z78" s="115"/>
      <c r="AA78" s="63"/>
    </row>
    <row r="79" spans="2:27" ht="15.75" x14ac:dyDescent="0.3">
      <c r="B79" s="3"/>
      <c r="C79" s="3"/>
      <c r="D79" s="8" t="s">
        <v>33</v>
      </c>
      <c r="E79" s="10">
        <f>'Referenz Pflasterwerk'!$U$17+'Referenz Pflasterwerk'!U22</f>
        <v>2.6676000000000002</v>
      </c>
      <c r="F79" s="10">
        <f>J158+J163</f>
        <v>2.6676000000000002</v>
      </c>
      <c r="G79" s="10">
        <f>J234+J239</f>
        <v>2.6676000000000002</v>
      </c>
      <c r="H79" s="3" t="s">
        <v>164</v>
      </c>
      <c r="I79" s="3"/>
      <c r="J79" s="3"/>
      <c r="K79" s="3"/>
      <c r="L79" s="8" t="s">
        <v>28</v>
      </c>
      <c r="M79" s="9">
        <f>'Referenz Pflasterwerk'!R74</f>
        <v>286.5</v>
      </c>
      <c r="N79" s="9">
        <f>G214</f>
        <v>199.82791534194143</v>
      </c>
      <c r="O79" s="9">
        <f>G290</f>
        <v>98.48408775377689</v>
      </c>
      <c r="P79" s="3" t="s">
        <v>164</v>
      </c>
      <c r="Q79" s="3"/>
      <c r="R79" s="3"/>
      <c r="S79" s="3"/>
      <c r="T79" s="31" t="s">
        <v>32</v>
      </c>
      <c r="U79" s="52">
        <f>'Referenz Pflasterwerk'!AB16</f>
        <v>2745</v>
      </c>
      <c r="V79" s="52">
        <f>S157+S162</f>
        <v>2745</v>
      </c>
      <c r="W79" s="52">
        <f>S233+S238</f>
        <v>2745</v>
      </c>
      <c r="X79" s="3"/>
      <c r="Y79" s="115"/>
      <c r="Z79" s="115"/>
      <c r="AA79" s="63"/>
    </row>
    <row r="80" spans="2:27" ht="15.75" x14ac:dyDescent="0.3">
      <c r="B80" s="3"/>
      <c r="C80" s="3"/>
      <c r="D80" s="29" t="s">
        <v>34</v>
      </c>
      <c r="E80" s="32">
        <f>'Referenz Pflasterwerk'!$U$18+'Referenz Pflasterwerk'!R24</f>
        <v>286.5</v>
      </c>
      <c r="F80" s="32">
        <f>J159+J165</f>
        <v>199.82791534194143</v>
      </c>
      <c r="G80" s="32">
        <f>J235+J241</f>
        <v>98.48408775377689</v>
      </c>
      <c r="H80" s="25" t="s">
        <v>164</v>
      </c>
      <c r="I80" s="3"/>
      <c r="J80" s="3"/>
      <c r="K80" s="3"/>
      <c r="L80" s="29" t="s">
        <v>29</v>
      </c>
      <c r="M80" s="26">
        <f>'Referenz Pflasterwerk'!S74</f>
        <v>10520.622960446901</v>
      </c>
      <c r="N80" s="26">
        <f>H214</f>
        <v>10507.917105104358</v>
      </c>
      <c r="O80" s="26">
        <f>H290</f>
        <v>10493.060418337505</v>
      </c>
      <c r="P80" s="25" t="s">
        <v>164</v>
      </c>
      <c r="Q80" s="3"/>
      <c r="R80" s="3"/>
      <c r="S80" s="3"/>
      <c r="T80" s="31" t="s">
        <v>33</v>
      </c>
      <c r="U80" s="52">
        <f>'Referenz Pflasterwerk'!AB17</f>
        <v>460</v>
      </c>
      <c r="V80" s="52">
        <f>S158+S163</f>
        <v>460</v>
      </c>
      <c r="W80" s="52">
        <f>S234+S239</f>
        <v>460</v>
      </c>
      <c r="X80" s="3"/>
      <c r="Y80" s="115"/>
      <c r="Z80" s="115"/>
      <c r="AA80" s="63"/>
    </row>
    <row r="81" spans="2:27" ht="16.5" thickBot="1" x14ac:dyDescent="0.35">
      <c r="B81" s="3"/>
      <c r="C81" s="3"/>
      <c r="D81" s="8" t="s">
        <v>129</v>
      </c>
      <c r="E81" s="10">
        <f>'Referenz Pflasterwerk'!$U$19</f>
        <v>0</v>
      </c>
      <c r="F81" s="10">
        <f>J160</f>
        <v>0</v>
      </c>
      <c r="G81" s="10">
        <f>J236</f>
        <v>0</v>
      </c>
      <c r="H81" s="3" t="s">
        <v>164</v>
      </c>
      <c r="I81" s="3"/>
      <c r="J81" s="3"/>
      <c r="K81" s="3"/>
      <c r="L81" s="27" t="s">
        <v>70</v>
      </c>
      <c r="M81" s="28">
        <f>SUM(M78:M80)</f>
        <v>10913.723840606901</v>
      </c>
      <c r="N81" s="28">
        <f t="shared" ref="N81:O81" si="1">SUM(N78:N80)</f>
        <v>10814.345900606299</v>
      </c>
      <c r="O81" s="28">
        <f t="shared" si="1"/>
        <v>10698.145386251283</v>
      </c>
      <c r="P81" s="27" t="s">
        <v>165</v>
      </c>
      <c r="Q81" s="3"/>
      <c r="R81" s="3"/>
      <c r="S81" s="3"/>
      <c r="T81" s="31" t="s">
        <v>34</v>
      </c>
      <c r="U81" s="52">
        <f>'Referenz Pflasterwerk'!AB18</f>
        <v>129000</v>
      </c>
      <c r="V81" s="52">
        <f>S159+S165</f>
        <v>123840</v>
      </c>
      <c r="W81" s="52">
        <f>S235+S241</f>
        <v>123840</v>
      </c>
      <c r="X81" s="3"/>
      <c r="Y81" s="115"/>
      <c r="Z81" s="115"/>
      <c r="AA81" s="63"/>
    </row>
    <row r="82" spans="2:27" ht="16.5" thickTop="1" x14ac:dyDescent="0.3">
      <c r="B82" s="3"/>
      <c r="C82" s="3"/>
      <c r="D82" s="29" t="s">
        <v>125</v>
      </c>
      <c r="E82" s="32">
        <f>'Referenz Pflasterwerk'!$U$25</f>
        <v>0</v>
      </c>
      <c r="F82" s="32">
        <f>J166</f>
        <v>0</v>
      </c>
      <c r="G82" s="32">
        <f>J242</f>
        <v>0</v>
      </c>
      <c r="H82" s="25" t="s">
        <v>164</v>
      </c>
      <c r="I82" s="3"/>
      <c r="J82" s="3"/>
      <c r="K82" s="3"/>
      <c r="L82" s="3"/>
      <c r="M82" s="3"/>
      <c r="N82" s="3"/>
      <c r="O82" s="3"/>
      <c r="P82" s="3"/>
      <c r="Q82" s="3"/>
      <c r="R82" s="3"/>
      <c r="S82" s="3"/>
      <c r="T82" s="31" t="s">
        <v>125</v>
      </c>
      <c r="U82" s="52">
        <f>'Referenz Pflasterwerk'!AB19</f>
        <v>0</v>
      </c>
      <c r="V82" s="52">
        <f>S166</f>
        <v>0</v>
      </c>
      <c r="W82" s="52">
        <f>S242</f>
        <v>0</v>
      </c>
      <c r="X82" s="3"/>
      <c r="Y82" s="115"/>
      <c r="Z82" s="115"/>
      <c r="AA82" s="63"/>
    </row>
    <row r="83" spans="2:27" ht="15.75" x14ac:dyDescent="0.3">
      <c r="B83" s="3"/>
      <c r="C83" s="3"/>
      <c r="D83" s="8" t="s">
        <v>151</v>
      </c>
      <c r="E83" s="10">
        <f>'Referenz Pflasterwerk'!$U$26</f>
        <v>0</v>
      </c>
      <c r="F83" s="10">
        <f>J167</f>
        <v>0</v>
      </c>
      <c r="G83" s="10">
        <f>J243</f>
        <v>0</v>
      </c>
      <c r="H83" s="3" t="s">
        <v>164</v>
      </c>
      <c r="I83" s="3"/>
      <c r="J83" s="3"/>
      <c r="K83" s="3"/>
      <c r="L83" s="3"/>
      <c r="M83" s="3"/>
      <c r="N83" s="3"/>
      <c r="O83" s="3"/>
      <c r="P83" s="3"/>
      <c r="Q83" s="3"/>
      <c r="R83" s="3"/>
      <c r="S83" s="3"/>
      <c r="T83" s="31" t="s">
        <v>126</v>
      </c>
      <c r="U83" s="52">
        <f>'Referenz Pflasterwerk'!AB20</f>
        <v>0</v>
      </c>
      <c r="V83" s="52">
        <f>S160</f>
        <v>0</v>
      </c>
      <c r="W83" s="52">
        <f>S236</f>
        <v>0</v>
      </c>
      <c r="X83" s="3"/>
      <c r="Y83" s="115"/>
      <c r="Z83" s="115"/>
      <c r="AA83" s="63"/>
    </row>
    <row r="84" spans="2:27" ht="15.75" x14ac:dyDescent="0.3">
      <c r="B84" s="3"/>
      <c r="C84" s="3"/>
      <c r="D84" s="29" t="s">
        <v>35</v>
      </c>
      <c r="E84" s="32">
        <f>'Referenz Pflasterwerk'!$U$28+'Referenz Pflasterwerk'!$U$29</f>
        <v>95.691080159999984</v>
      </c>
      <c r="F84" s="32">
        <f>J169+J170</f>
        <v>95.691080159999984</v>
      </c>
      <c r="G84" s="32">
        <f>J245+J246</f>
        <v>95.691080159999984</v>
      </c>
      <c r="H84" s="25" t="s">
        <v>164</v>
      </c>
      <c r="I84" s="3"/>
      <c r="J84" s="3"/>
      <c r="K84" s="3"/>
      <c r="L84" s="23" t="s">
        <v>193</v>
      </c>
      <c r="M84" s="24"/>
      <c r="N84" s="24"/>
      <c r="O84" s="24"/>
      <c r="P84" s="24"/>
      <c r="Q84" s="3"/>
      <c r="R84" s="3"/>
      <c r="S84" s="3"/>
      <c r="T84" s="31" t="s">
        <v>463</v>
      </c>
      <c r="U84" s="52">
        <f>'Referenz Pflasterwerk'!AB21</f>
        <v>0</v>
      </c>
      <c r="V84" s="52">
        <f>S167</f>
        <v>0</v>
      </c>
      <c r="W84" s="52">
        <f>S243</f>
        <v>0</v>
      </c>
      <c r="X84" s="3"/>
      <c r="Y84" s="115"/>
      <c r="Z84" s="115"/>
      <c r="AA84" s="63"/>
    </row>
    <row r="85" spans="2:27" ht="15.75" thickBot="1" x14ac:dyDescent="0.3">
      <c r="B85" s="3"/>
      <c r="C85" s="3"/>
      <c r="D85" s="27" t="s">
        <v>70</v>
      </c>
      <c r="E85" s="33">
        <f>SUM(E78:E84)</f>
        <v>393.10088015999997</v>
      </c>
      <c r="F85" s="33">
        <f>SUM(F78:F84)</f>
        <v>306.42879550194141</v>
      </c>
      <c r="G85" s="33">
        <f>SUM(G78:G84)</f>
        <v>205.08496791377689</v>
      </c>
      <c r="H85" s="27" t="s">
        <v>165</v>
      </c>
      <c r="I85" s="3"/>
      <c r="J85" s="3"/>
      <c r="K85" s="387" t="s">
        <v>147</v>
      </c>
      <c r="L85" s="34"/>
      <c r="M85" s="46">
        <v>2020</v>
      </c>
      <c r="N85" s="47">
        <v>2025</v>
      </c>
      <c r="O85" s="47">
        <v>2030</v>
      </c>
      <c r="P85" s="34"/>
      <c r="Q85" s="3"/>
      <c r="R85" s="3"/>
      <c r="S85" s="3"/>
      <c r="T85" s="51" t="s">
        <v>35</v>
      </c>
      <c r="U85" s="53">
        <f>'Referenz Pflasterwerk'!AB22</f>
        <v>40464.000000000007</v>
      </c>
      <c r="V85" s="54">
        <f>S169+S170</f>
        <v>40464</v>
      </c>
      <c r="W85" s="54">
        <f>S245+S246</f>
        <v>40464</v>
      </c>
      <c r="X85" s="3"/>
      <c r="Y85" s="115"/>
      <c r="Z85" s="115"/>
      <c r="AA85" s="63"/>
    </row>
    <row r="86" spans="2:27" ht="13.5" thickTop="1" x14ac:dyDescent="0.2">
      <c r="B86" s="3"/>
      <c r="C86" s="3"/>
      <c r="D86" s="3"/>
      <c r="E86" s="3"/>
      <c r="F86" s="3"/>
      <c r="G86" s="3"/>
      <c r="H86" s="3"/>
      <c r="I86" s="3"/>
      <c r="J86" s="3"/>
      <c r="K86" s="387"/>
      <c r="L86" s="24"/>
      <c r="M86" s="48" t="s">
        <v>92</v>
      </c>
      <c r="N86" s="49"/>
      <c r="O86" s="49"/>
      <c r="P86" s="24"/>
      <c r="Q86" s="3"/>
      <c r="R86" s="3"/>
      <c r="S86" s="3"/>
      <c r="T86" s="8" t="s">
        <v>31</v>
      </c>
      <c r="U86" s="55">
        <v>0</v>
      </c>
      <c r="V86" s="55">
        <f>S173</f>
        <v>1800</v>
      </c>
      <c r="W86" s="55">
        <f>S249</f>
        <v>1800</v>
      </c>
      <c r="X86" s="3"/>
      <c r="Y86" s="115"/>
      <c r="Z86" s="115"/>
      <c r="AA86" s="63"/>
    </row>
    <row r="87" spans="2:27" ht="15.75" x14ac:dyDescent="0.3">
      <c r="B87" s="3"/>
      <c r="C87" s="3"/>
      <c r="D87" s="3"/>
      <c r="E87" s="3"/>
      <c r="F87" s="3"/>
      <c r="G87" s="3"/>
      <c r="H87" s="3"/>
      <c r="I87" s="3"/>
      <c r="J87" s="3"/>
      <c r="K87" s="3"/>
      <c r="L87" s="29" t="str">
        <f>C155</f>
        <v>Energieträger gesamt</v>
      </c>
      <c r="M87" s="26">
        <f>SUM('Referenz Pflasterwerk'!S16:S29)</f>
        <v>60.712972560000004</v>
      </c>
      <c r="N87" s="26">
        <f>H155</f>
        <v>48.007117217457392</v>
      </c>
      <c r="O87" s="26">
        <f>H231</f>
        <v>33.150430450606038</v>
      </c>
      <c r="P87" s="25" t="s">
        <v>164</v>
      </c>
      <c r="Q87" s="3"/>
      <c r="R87" s="3"/>
      <c r="S87" s="3"/>
      <c r="T87" s="8" t="s">
        <v>155</v>
      </c>
      <c r="U87" s="55">
        <v>0</v>
      </c>
      <c r="V87" s="55">
        <f>S174</f>
        <v>0</v>
      </c>
      <c r="W87" s="55">
        <f>S250</f>
        <v>0</v>
      </c>
      <c r="X87" s="3"/>
      <c r="Y87" s="115"/>
      <c r="Z87" s="115"/>
      <c r="AA87" s="63"/>
    </row>
    <row r="88" spans="2:27" ht="15.75" x14ac:dyDescent="0.3">
      <c r="B88" s="3"/>
      <c r="C88" s="3"/>
      <c r="D88" s="3"/>
      <c r="E88" s="3"/>
      <c r="F88" s="3"/>
      <c r="G88" s="3"/>
      <c r="H88" s="3"/>
      <c r="I88" s="3"/>
      <c r="J88" s="3"/>
      <c r="K88" s="3"/>
      <c r="L88" s="8" t="str">
        <f>C171</f>
        <v>Transport gesamt</v>
      </c>
      <c r="M88" s="9">
        <f>'Referenz Pflasterwerk'!S32+'Referenz Pflasterwerk'!S33</f>
        <v>578.62626120000004</v>
      </c>
      <c r="N88" s="9">
        <f>H171</f>
        <v>578.62626120000004</v>
      </c>
      <c r="O88" s="9">
        <f>H247</f>
        <v>578.62626120000004</v>
      </c>
      <c r="P88" s="3" t="s">
        <v>164</v>
      </c>
      <c r="Q88" s="3"/>
      <c r="R88" s="3"/>
      <c r="S88" s="3"/>
      <c r="T88" s="59" t="s">
        <v>162</v>
      </c>
      <c r="U88" s="61">
        <v>0</v>
      </c>
      <c r="V88" s="61">
        <f>S175</f>
        <v>0</v>
      </c>
      <c r="W88" s="61">
        <f>S251</f>
        <v>0</v>
      </c>
      <c r="X88" s="3"/>
      <c r="Y88" s="115"/>
      <c r="Z88" s="115"/>
      <c r="AA88" s="63"/>
    </row>
    <row r="89" spans="2:27" ht="15.75" x14ac:dyDescent="0.3">
      <c r="B89" s="3"/>
      <c r="C89" s="3"/>
      <c r="D89" s="3"/>
      <c r="E89" s="3"/>
      <c r="F89" s="3"/>
      <c r="G89" s="3"/>
      <c r="H89" s="3"/>
      <c r="I89" s="3"/>
      <c r="J89" s="3"/>
      <c r="K89" s="3"/>
      <c r="L89" s="29" t="str">
        <f>C175</f>
        <v>Zement</v>
      </c>
      <c r="M89" s="26">
        <f>'Referenz Pflasterwerk'!S35</f>
        <v>7683.24</v>
      </c>
      <c r="N89" s="26">
        <f>H175</f>
        <v>7683.24</v>
      </c>
      <c r="O89" s="26">
        <f>H251</f>
        <v>7683.24</v>
      </c>
      <c r="P89" s="25" t="s">
        <v>164</v>
      </c>
      <c r="Q89" s="3"/>
      <c r="R89" s="3"/>
      <c r="S89" s="3"/>
      <c r="T89" s="57" t="s">
        <v>156</v>
      </c>
      <c r="U89" s="58">
        <f>SUM(U90:U92)</f>
        <v>272843.09601517254</v>
      </c>
      <c r="V89" s="58">
        <f t="shared" ref="V89:W89" si="2">SUM(V90:V92)</f>
        <v>486645.56552728347</v>
      </c>
      <c r="W89" s="58">
        <f t="shared" si="2"/>
        <v>855851.63090010255</v>
      </c>
      <c r="X89" s="3"/>
      <c r="Y89" s="115"/>
      <c r="Z89" s="115"/>
      <c r="AA89" s="63"/>
    </row>
    <row r="90" spans="2:27" ht="15.75" x14ac:dyDescent="0.3">
      <c r="B90" s="3"/>
      <c r="C90" s="3"/>
      <c r="D90" s="3"/>
      <c r="E90" s="3"/>
      <c r="F90" s="3"/>
      <c r="G90" s="3"/>
      <c r="H90" s="3"/>
      <c r="I90" s="3"/>
      <c r="J90" s="3"/>
      <c r="K90" s="3"/>
      <c r="L90" s="8" t="str">
        <f>C181</f>
        <v>Gesteinskörnungen (Zuschlagsstoffe)</v>
      </c>
      <c r="M90" s="9">
        <f>'Referenz Pflasterwerk'!S41</f>
        <v>387.03000000000003</v>
      </c>
      <c r="N90" s="9">
        <f>H181</f>
        <v>387.03000000000003</v>
      </c>
      <c r="O90" s="9">
        <f>H257</f>
        <v>387.03000000000003</v>
      </c>
      <c r="P90" s="3" t="s">
        <v>164</v>
      </c>
      <c r="Q90" s="3"/>
      <c r="R90" s="3"/>
      <c r="S90" s="3"/>
      <c r="T90" s="31" t="s">
        <v>157</v>
      </c>
      <c r="U90" s="52">
        <f>'Referenz Pflasterwerk'!AB26</f>
        <v>2665.0220039999999</v>
      </c>
      <c r="V90" s="52">
        <f>S178</f>
        <v>4797.0396071999994</v>
      </c>
      <c r="W90" s="52">
        <f>S254</f>
        <v>8528.0704127999998</v>
      </c>
      <c r="X90" s="3"/>
      <c r="Y90" s="115"/>
      <c r="Z90" s="115"/>
      <c r="AA90" s="63"/>
    </row>
    <row r="91" spans="2:27" ht="15.75" x14ac:dyDescent="0.3">
      <c r="B91" s="3"/>
      <c r="C91" s="3"/>
      <c r="D91" s="3"/>
      <c r="E91" s="3"/>
      <c r="F91" s="3"/>
      <c r="G91" s="3"/>
      <c r="H91" s="3"/>
      <c r="I91" s="3"/>
      <c r="J91" s="3"/>
      <c r="K91" s="3"/>
      <c r="L91" s="29" t="str">
        <f>D186</f>
        <v>Farben</v>
      </c>
      <c r="M91" s="26">
        <f>'Referenz Pflasterwerk'!S46</f>
        <v>1040</v>
      </c>
      <c r="N91" s="26">
        <f>H186</f>
        <v>1040</v>
      </c>
      <c r="O91" s="26">
        <f>H262</f>
        <v>1040</v>
      </c>
      <c r="P91" s="25" t="s">
        <v>164</v>
      </c>
      <c r="Q91" s="3"/>
      <c r="R91" s="3"/>
      <c r="S91" s="3"/>
      <c r="T91" s="31" t="s">
        <v>158</v>
      </c>
      <c r="U91" s="52">
        <f>'Referenz Pflasterwerk'!AB27</f>
        <v>7162.5</v>
      </c>
      <c r="V91" s="52">
        <f>S179</f>
        <v>8992.2561903873648</v>
      </c>
      <c r="W91" s="52">
        <f>S255</f>
        <v>7878.7270203021508</v>
      </c>
      <c r="X91" s="3"/>
      <c r="Y91" s="115"/>
      <c r="Z91" s="115"/>
      <c r="AA91" s="63"/>
    </row>
    <row r="92" spans="2:27" ht="15.75" x14ac:dyDescent="0.3">
      <c r="B92" s="3"/>
      <c r="C92" s="3"/>
      <c r="D92" s="3"/>
      <c r="E92" s="3"/>
      <c r="F92" s="3"/>
      <c r="G92" s="3"/>
      <c r="H92" s="3"/>
      <c r="I92" s="3"/>
      <c r="J92" s="3"/>
      <c r="K92" s="3"/>
      <c r="L92" s="8" t="str">
        <f>C188</f>
        <v>Zusatzstoffe (Füllstoffe)</v>
      </c>
      <c r="M92" s="9">
        <f>'Referenz Pflasterwerk'!S48</f>
        <v>424.19999999999993</v>
      </c>
      <c r="N92" s="9">
        <f>H188</f>
        <v>424.19999999999993</v>
      </c>
      <c r="O92" s="9">
        <f>H264</f>
        <v>424.19999999999993</v>
      </c>
      <c r="P92" s="3" t="s">
        <v>164</v>
      </c>
      <c r="Q92" s="3"/>
      <c r="R92" s="3"/>
      <c r="S92" s="3"/>
      <c r="T92" s="31" t="s">
        <v>159</v>
      </c>
      <c r="U92" s="52">
        <f>'Referenz Pflasterwerk'!AB28</f>
        <v>263015.57401117252</v>
      </c>
      <c r="V92" s="52">
        <f>S180</f>
        <v>472856.2697296961</v>
      </c>
      <c r="W92" s="52">
        <f>S256</f>
        <v>839444.8334670004</v>
      </c>
      <c r="X92" s="3"/>
      <c r="Y92" s="115"/>
      <c r="Z92" s="115"/>
      <c r="AA92" s="63"/>
    </row>
    <row r="93" spans="2:27" ht="16.5" thickBot="1" x14ac:dyDescent="0.35">
      <c r="B93" s="3"/>
      <c r="C93" s="3"/>
      <c r="D93" s="3"/>
      <c r="E93" s="3"/>
      <c r="F93" s="3"/>
      <c r="G93" s="3"/>
      <c r="H93" s="3"/>
      <c r="I93" s="3"/>
      <c r="J93" s="3"/>
      <c r="K93" s="3"/>
      <c r="L93" s="29" t="str">
        <f>C193</f>
        <v>Zusatzmittel</v>
      </c>
      <c r="M93" s="26">
        <f>'Referenz Pflasterwerk'!S53</f>
        <v>185.55932668689491</v>
      </c>
      <c r="N93" s="26">
        <f>H193</f>
        <v>185.55932668689491</v>
      </c>
      <c r="O93" s="26">
        <f>H269</f>
        <v>185.55932668689491</v>
      </c>
      <c r="P93" s="25" t="s">
        <v>164</v>
      </c>
      <c r="Q93" s="3"/>
      <c r="R93" s="3"/>
      <c r="S93" s="3"/>
      <c r="T93" s="27" t="s">
        <v>70</v>
      </c>
      <c r="U93" s="56">
        <f>U89+U88+U87+U86+U78</f>
        <v>445512.09601517254</v>
      </c>
      <c r="V93" s="56">
        <f t="shared" ref="V93:W93" si="3">V89+V88+V87+V86+V78</f>
        <v>655954.56552728347</v>
      </c>
      <c r="W93" s="56">
        <f t="shared" si="3"/>
        <v>1025160.6309001026</v>
      </c>
      <c r="X93" s="3"/>
      <c r="Y93" s="115"/>
      <c r="Z93" s="115"/>
      <c r="AA93" s="63"/>
    </row>
    <row r="94" spans="2:27" ht="16.5" thickTop="1" x14ac:dyDescent="0.3">
      <c r="B94" s="3"/>
      <c r="C94" s="3"/>
      <c r="D94" s="3"/>
      <c r="E94" s="3"/>
      <c r="F94" s="3"/>
      <c r="G94" s="3"/>
      <c r="H94" s="3"/>
      <c r="I94" s="3"/>
      <c r="J94" s="3"/>
      <c r="K94" s="3"/>
      <c r="L94" s="8" t="s">
        <v>194</v>
      </c>
      <c r="M94" s="9">
        <f>'Referenz Pflasterwerk'!S59+'Referenz Pflasterwerk'!S60</f>
        <v>5.4399999999999997E-2</v>
      </c>
      <c r="N94" s="9">
        <f>H199+H200</f>
        <v>5.4399999999999997E-2</v>
      </c>
      <c r="O94" s="9">
        <f>H275+H276</f>
        <v>5.4399999999999997E-2</v>
      </c>
      <c r="P94" s="3" t="s">
        <v>164</v>
      </c>
      <c r="Q94" s="3"/>
      <c r="R94" s="3"/>
      <c r="S94" s="3"/>
      <c r="T94" s="3"/>
      <c r="U94" s="3"/>
      <c r="V94" s="3"/>
      <c r="W94" s="3"/>
      <c r="X94" s="3"/>
      <c r="Y94" s="63"/>
      <c r="Z94" s="63"/>
      <c r="AA94" s="63"/>
    </row>
    <row r="95" spans="2:27" ht="16.5" thickBot="1" x14ac:dyDescent="0.35">
      <c r="B95" s="3"/>
      <c r="C95" s="3"/>
      <c r="D95" s="3"/>
      <c r="E95" s="3"/>
      <c r="F95" s="3"/>
      <c r="G95" s="3"/>
      <c r="H95" s="3"/>
      <c r="I95" s="3"/>
      <c r="J95" s="3"/>
      <c r="K95" s="3"/>
      <c r="L95" s="29" t="str">
        <f>C202</f>
        <v>Oberflächenschutzsysteme</v>
      </c>
      <c r="M95" s="26">
        <f>'Referenz Pflasterwerk'!S62</f>
        <v>0</v>
      </c>
      <c r="N95" s="26">
        <f>H202</f>
        <v>0</v>
      </c>
      <c r="O95" s="26">
        <f>H278</f>
        <v>0</v>
      </c>
      <c r="P95" s="25" t="s">
        <v>164</v>
      </c>
      <c r="Q95" s="3"/>
      <c r="R95" s="3"/>
      <c r="S95" s="3"/>
      <c r="T95" s="104" t="s">
        <v>211</v>
      </c>
      <c r="U95" s="105">
        <f>U93-U92</f>
        <v>182496.52200400003</v>
      </c>
      <c r="V95" s="105">
        <f>V93-V92</f>
        <v>183098.29579758737</v>
      </c>
      <c r="W95" s="105">
        <f>W93-W92</f>
        <v>185715.79743310215</v>
      </c>
      <c r="X95" s="3"/>
      <c r="Y95" s="3"/>
      <c r="Z95" s="3"/>
      <c r="AA95" s="3"/>
    </row>
    <row r="96" spans="2:27" ht="16.5" thickBot="1" x14ac:dyDescent="0.35">
      <c r="B96" s="3"/>
      <c r="C96" s="3"/>
      <c r="D96" s="3"/>
      <c r="E96" s="3"/>
      <c r="F96" s="3"/>
      <c r="G96" s="3"/>
      <c r="H96" s="3"/>
      <c r="I96" s="3"/>
      <c r="J96" s="3"/>
      <c r="K96" s="3"/>
      <c r="L96" s="8" t="str">
        <f>C207</f>
        <v>Oberflächenbearbeitung (vor/nach Erhärtung)</v>
      </c>
      <c r="M96" s="9">
        <f>'Referenz Pflasterwerk'!S67</f>
        <v>0</v>
      </c>
      <c r="N96" s="9">
        <f>H207</f>
        <v>0</v>
      </c>
      <c r="O96" s="9">
        <f>H283</f>
        <v>0</v>
      </c>
      <c r="P96" s="3" t="s">
        <v>164</v>
      </c>
      <c r="Q96" s="3"/>
      <c r="R96" s="3"/>
      <c r="S96" s="3"/>
      <c r="T96" s="106" t="s">
        <v>161</v>
      </c>
      <c r="U96" s="107">
        <f>U93-U89</f>
        <v>172669</v>
      </c>
      <c r="V96" s="107">
        <f>V93-V89</f>
        <v>169309</v>
      </c>
      <c r="W96" s="107">
        <f>W93-W89</f>
        <v>169309</v>
      </c>
      <c r="X96" s="3"/>
      <c r="Y96" s="3"/>
      <c r="Z96" s="3"/>
      <c r="AA96" s="3"/>
    </row>
    <row r="97" spans="2:27" ht="15.75" x14ac:dyDescent="0.3">
      <c r="B97" s="3"/>
      <c r="C97" s="3"/>
      <c r="D97" s="3"/>
      <c r="E97" s="3"/>
      <c r="F97" s="3"/>
      <c r="G97" s="3"/>
      <c r="H97" s="3"/>
      <c r="I97" s="3"/>
      <c r="J97" s="3"/>
      <c r="K97" s="3"/>
      <c r="L97" s="29" t="str">
        <f>D212</f>
        <v>Verpackungsmaterial</v>
      </c>
      <c r="M97" s="26">
        <f>'Referenz Pflasterwerk'!S72</f>
        <v>161.20000000000002</v>
      </c>
      <c r="N97" s="26">
        <f>H212</f>
        <v>161.20000000000002</v>
      </c>
      <c r="O97" s="26">
        <f>H288</f>
        <v>161.20000000000002</v>
      </c>
      <c r="P97" s="25" t="s">
        <v>164</v>
      </c>
      <c r="Q97" s="3"/>
      <c r="R97" s="3"/>
      <c r="S97" s="3"/>
      <c r="T97" s="3"/>
      <c r="U97" s="3"/>
      <c r="V97" s="3"/>
      <c r="W97" s="3"/>
      <c r="X97" s="3"/>
      <c r="Y97" s="3"/>
      <c r="Z97" s="3"/>
      <c r="AA97" s="3"/>
    </row>
    <row r="98" spans="2:27" ht="15" thickBot="1" x14ac:dyDescent="0.3">
      <c r="B98" s="3"/>
      <c r="C98" s="3"/>
      <c r="D98" s="3"/>
      <c r="E98" s="3"/>
      <c r="F98" s="3"/>
      <c r="G98" s="3"/>
      <c r="H98" s="3"/>
      <c r="I98" s="3"/>
      <c r="J98" s="3"/>
      <c r="K98" s="3"/>
      <c r="L98" s="27" t="s">
        <v>70</v>
      </c>
      <c r="M98" s="28">
        <f>SUM(M87:M97)</f>
        <v>10520.622960446897</v>
      </c>
      <c r="N98" s="28">
        <f t="shared" ref="N98" si="4">SUM(N87:N97)</f>
        <v>10507.917105104354</v>
      </c>
      <c r="O98" s="28">
        <f>SUM(O87:O97)</f>
        <v>10493.060418337504</v>
      </c>
      <c r="P98" s="27" t="s">
        <v>165</v>
      </c>
      <c r="Q98" s="3"/>
      <c r="R98" s="3"/>
      <c r="S98" s="3"/>
      <c r="T98" s="3"/>
      <c r="U98" s="3"/>
      <c r="V98" s="3"/>
      <c r="W98" s="3"/>
      <c r="X98" s="3"/>
      <c r="Y98" s="3"/>
      <c r="Z98" s="3"/>
      <c r="AA98" s="3"/>
    </row>
    <row r="99" spans="2:27" ht="13.5" thickTop="1" x14ac:dyDescent="0.2">
      <c r="B99" s="3"/>
      <c r="C99" s="3"/>
      <c r="D99" s="3"/>
      <c r="E99" s="3"/>
      <c r="F99" s="3"/>
      <c r="G99" s="3"/>
      <c r="H99" s="3"/>
      <c r="I99" s="3"/>
      <c r="J99" s="3"/>
      <c r="K99" s="3"/>
      <c r="L99" s="8"/>
      <c r="M99" s="82"/>
      <c r="N99" s="82"/>
      <c r="O99" s="82"/>
      <c r="P99" s="8"/>
      <c r="Q99" s="3"/>
      <c r="R99" s="3"/>
      <c r="S99" s="3"/>
      <c r="T99" s="3"/>
      <c r="U99" s="3"/>
      <c r="V99" s="3"/>
      <c r="W99" s="3"/>
      <c r="X99" s="3"/>
      <c r="Y99" s="3"/>
      <c r="Z99" s="3"/>
      <c r="AA99" s="3"/>
    </row>
    <row r="100" spans="2:27" x14ac:dyDescent="0.2">
      <c r="B100" s="3"/>
      <c r="C100" s="3"/>
      <c r="D100" s="3"/>
      <c r="E100" s="3"/>
      <c r="F100" s="3"/>
      <c r="G100" s="3"/>
      <c r="H100" s="3"/>
      <c r="I100" s="3"/>
      <c r="J100" s="3"/>
      <c r="K100" s="3"/>
      <c r="L100" s="8"/>
      <c r="M100" s="82"/>
      <c r="N100" s="82"/>
      <c r="O100" s="82"/>
      <c r="P100" s="8"/>
      <c r="Q100" s="3"/>
      <c r="R100" s="3"/>
      <c r="S100" s="3"/>
      <c r="T100" s="3"/>
      <c r="U100" s="3"/>
      <c r="V100" s="3"/>
      <c r="W100" s="3"/>
      <c r="X100" s="3"/>
      <c r="Y100" s="3"/>
      <c r="Z100" s="3"/>
      <c r="AA100" s="3"/>
    </row>
    <row r="101" spans="2:27" ht="15" x14ac:dyDescent="0.25">
      <c r="B101" s="3"/>
      <c r="C101" s="3"/>
      <c r="D101" s="3"/>
      <c r="E101" s="3"/>
      <c r="F101" s="3"/>
      <c r="G101" s="3"/>
      <c r="H101" s="3"/>
      <c r="I101" s="3"/>
      <c r="J101" s="3"/>
      <c r="K101" s="3"/>
      <c r="L101" s="23" t="s">
        <v>209</v>
      </c>
      <c r="M101" s="3"/>
      <c r="N101" s="3"/>
      <c r="O101" s="3"/>
      <c r="P101" s="3"/>
      <c r="Q101" s="3"/>
      <c r="R101" s="3"/>
      <c r="S101" s="3"/>
      <c r="T101" s="3"/>
      <c r="U101" s="3"/>
      <c r="V101" s="3"/>
      <c r="W101" s="3"/>
      <c r="X101" s="3"/>
      <c r="Y101" s="3"/>
      <c r="Z101" s="3"/>
      <c r="AA101" s="3"/>
    </row>
    <row r="102" spans="2:27" ht="15" x14ac:dyDescent="0.25">
      <c r="B102" s="3"/>
      <c r="C102" s="3"/>
      <c r="D102" s="3"/>
      <c r="E102" s="3"/>
      <c r="F102" s="3"/>
      <c r="G102" s="3"/>
      <c r="H102" s="3"/>
      <c r="I102" s="3"/>
      <c r="J102" s="3"/>
      <c r="K102" s="3"/>
      <c r="L102" s="34"/>
      <c r="M102" s="46">
        <v>2020</v>
      </c>
      <c r="N102" s="47">
        <v>2025</v>
      </c>
      <c r="O102" s="47">
        <v>2030</v>
      </c>
      <c r="P102" s="34"/>
      <c r="Q102" s="3"/>
      <c r="R102" s="3"/>
      <c r="S102" s="3"/>
      <c r="T102" s="3"/>
      <c r="U102" s="3"/>
      <c r="V102" s="3"/>
      <c r="W102" s="3"/>
      <c r="X102" s="3"/>
      <c r="Y102" s="3"/>
      <c r="Z102" s="3"/>
      <c r="AA102" s="3"/>
    </row>
    <row r="103" spans="2:27" x14ac:dyDescent="0.2">
      <c r="B103" s="3"/>
      <c r="C103" s="3"/>
      <c r="D103" s="3"/>
      <c r="E103" s="3"/>
      <c r="F103" s="3"/>
      <c r="G103" s="3"/>
      <c r="H103" s="3"/>
      <c r="I103" s="3"/>
      <c r="J103" s="3"/>
      <c r="K103" s="3"/>
      <c r="L103" s="24"/>
      <c r="M103" s="48" t="s">
        <v>92</v>
      </c>
      <c r="N103" s="49"/>
      <c r="O103" s="49"/>
      <c r="P103" s="24"/>
      <c r="Q103" s="3"/>
      <c r="R103" s="3"/>
      <c r="S103" s="3"/>
      <c r="T103" s="3"/>
      <c r="U103" s="3"/>
      <c r="V103" s="3"/>
      <c r="W103" s="3"/>
      <c r="X103" s="3"/>
      <c r="Y103" s="3"/>
      <c r="Z103" s="3"/>
      <c r="AA103" s="3"/>
    </row>
    <row r="104" spans="2:27" ht="15.75" x14ac:dyDescent="0.3">
      <c r="B104" s="3"/>
      <c r="C104" s="3"/>
      <c r="D104" s="3"/>
      <c r="E104" s="3"/>
      <c r="F104" s="3"/>
      <c r="G104" s="3"/>
      <c r="H104" s="3"/>
      <c r="I104" s="3"/>
      <c r="J104" s="3"/>
      <c r="K104" s="3"/>
      <c r="L104" s="29" t="s">
        <v>118</v>
      </c>
      <c r="M104" s="97">
        <f>M78/IF(NOT(ISBLANK('Referenz Pflasterwerk'!$I$12)),'Referenz Pflasterwerk'!$I$12,'Referenz Pflasterwerk'!$F$12)</f>
        <v>1.0660088015999999E-3</v>
      </c>
      <c r="N104" s="97">
        <f>N78/IF(NOT(ISBLANK('Referenz Pflasterwerk'!$I$12)),'Referenz Pflasterwerk'!$I$12,'Referenz Pflasterwerk'!$F$12)</f>
        <v>1.0660088015999999E-3</v>
      </c>
      <c r="O104" s="97">
        <f>O78/IF(NOT(ISBLANK('Referenz Pflasterwerk'!$I$12)),'Referenz Pflasterwerk'!$I$12,'Referenz Pflasterwerk'!$F$12)</f>
        <v>1.0660088015999999E-3</v>
      </c>
      <c r="P104" s="25" t="s">
        <v>208</v>
      </c>
      <c r="Q104" s="3"/>
      <c r="R104" s="3"/>
      <c r="S104" s="3"/>
      <c r="T104" s="3"/>
      <c r="U104" s="3"/>
      <c r="V104" s="3"/>
      <c r="W104" s="3"/>
      <c r="X104" s="3"/>
      <c r="Y104" s="3"/>
      <c r="Z104" s="3"/>
      <c r="AA104" s="3"/>
    </row>
    <row r="105" spans="2:27" ht="15.75" x14ac:dyDescent="0.3">
      <c r="B105" s="3"/>
      <c r="C105" s="3"/>
      <c r="D105" s="3"/>
      <c r="E105" s="3"/>
      <c r="F105" s="3"/>
      <c r="G105" s="3"/>
      <c r="H105" s="3"/>
      <c r="I105" s="3"/>
      <c r="J105" s="3"/>
      <c r="K105" s="3"/>
      <c r="L105" s="8" t="s">
        <v>28</v>
      </c>
      <c r="M105" s="98">
        <f>M79/IF(NOT(ISBLANK('Referenz Pflasterwerk'!$I$12)),'Referenz Pflasterwerk'!$I$12,'Referenz Pflasterwerk'!$F$12)</f>
        <v>2.8649999999999999E-3</v>
      </c>
      <c r="N105" s="98">
        <f>N79/IF(NOT(ISBLANK('Referenz Pflasterwerk'!$I$12)),'Referenz Pflasterwerk'!$I$12,'Referenz Pflasterwerk'!$F$12)</f>
        <v>1.9982791534194143E-3</v>
      </c>
      <c r="O105" s="98">
        <f>O79/IF(NOT(ISBLANK('Referenz Pflasterwerk'!$I$12)),'Referenz Pflasterwerk'!$I$12,'Referenz Pflasterwerk'!$F$12)</f>
        <v>9.8484087753776886E-4</v>
      </c>
      <c r="P105" s="3" t="s">
        <v>208</v>
      </c>
      <c r="Q105" s="3"/>
      <c r="R105" s="3"/>
      <c r="S105" s="3"/>
      <c r="T105" s="3"/>
      <c r="U105" s="3"/>
      <c r="V105" s="3"/>
      <c r="W105" s="3"/>
      <c r="X105" s="3"/>
      <c r="Y105" s="3"/>
      <c r="Z105" s="3"/>
      <c r="AA105" s="3"/>
    </row>
    <row r="106" spans="2:27" ht="15.75" x14ac:dyDescent="0.3">
      <c r="B106" s="3"/>
      <c r="C106" s="3"/>
      <c r="D106" s="3"/>
      <c r="E106" s="3"/>
      <c r="F106" s="3"/>
      <c r="G106" s="3"/>
      <c r="H106" s="3"/>
      <c r="I106" s="3"/>
      <c r="J106" s="3"/>
      <c r="K106" s="3"/>
      <c r="L106" s="29" t="s">
        <v>29</v>
      </c>
      <c r="M106" s="97">
        <f>M80/IF(NOT(ISBLANK('Referenz Pflasterwerk'!$I$12)),'Referenz Pflasterwerk'!$I$12,'Referenz Pflasterwerk'!$F$12)</f>
        <v>0.10520622960446901</v>
      </c>
      <c r="N106" s="97">
        <f>N80/IF(NOT(ISBLANK('Referenz Pflasterwerk'!$I$12)),'Referenz Pflasterwerk'!$I$12,'Referenz Pflasterwerk'!$F$12)</f>
        <v>0.10507917105104357</v>
      </c>
      <c r="O106" s="97">
        <f>O80/IF(NOT(ISBLANK('Referenz Pflasterwerk'!$I$12)),'Referenz Pflasterwerk'!$I$12,'Referenz Pflasterwerk'!$F$12)</f>
        <v>0.10493060418337505</v>
      </c>
      <c r="P106" s="25" t="s">
        <v>208</v>
      </c>
      <c r="Q106" s="3"/>
      <c r="R106" s="3"/>
      <c r="S106" s="3"/>
      <c r="T106" s="3"/>
      <c r="U106" s="3"/>
      <c r="V106" s="3"/>
      <c r="W106" s="3"/>
      <c r="X106" s="3"/>
      <c r="Y106" s="3"/>
      <c r="Z106" s="3"/>
      <c r="AA106" s="3"/>
    </row>
    <row r="107" spans="2:27" ht="15" thickBot="1" x14ac:dyDescent="0.3">
      <c r="B107" s="3"/>
      <c r="C107" s="3"/>
      <c r="D107" s="3"/>
      <c r="E107" s="3"/>
      <c r="F107" s="3"/>
      <c r="G107" s="3"/>
      <c r="H107" s="3"/>
      <c r="I107" s="3"/>
      <c r="J107" s="3"/>
      <c r="K107" s="3"/>
      <c r="L107" s="27" t="s">
        <v>70</v>
      </c>
      <c r="M107" s="99">
        <f>M81/IF(NOT(ISBLANK('Referenz Pflasterwerk'!$I$12)),'Referenz Pflasterwerk'!$I$12,'Referenz Pflasterwerk'!$F$12)</f>
        <v>0.10913723840606901</v>
      </c>
      <c r="N107" s="99">
        <f>N81/IF(NOT(ISBLANK('Referenz Pflasterwerk'!$I$12)),'Referenz Pflasterwerk'!$I$12,'Referenz Pflasterwerk'!$F$12)</f>
        <v>0.10814345900606298</v>
      </c>
      <c r="O107" s="99">
        <f>O81/IF(NOT(ISBLANK('Referenz Pflasterwerk'!$I$12)),'Referenz Pflasterwerk'!$I$12,'Referenz Pflasterwerk'!$F$12)</f>
        <v>0.10698145386251283</v>
      </c>
      <c r="P107" s="27" t="s">
        <v>210</v>
      </c>
      <c r="Q107" s="3"/>
      <c r="R107" s="3"/>
      <c r="S107" s="3"/>
      <c r="T107" s="3"/>
      <c r="U107" s="3"/>
      <c r="V107" s="3"/>
      <c r="W107" s="3"/>
      <c r="X107" s="3"/>
      <c r="Y107" s="3"/>
      <c r="Z107" s="3"/>
      <c r="AA107" s="3"/>
    </row>
    <row r="108" spans="2:27" ht="13.5" thickTop="1"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2:27"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2:27"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3" spans="2:25" hidden="1" outlineLevel="1"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2:25" ht="15.75" hidden="1" outlineLevel="1" x14ac:dyDescent="0.25">
      <c r="B114" s="3"/>
      <c r="C114" s="3"/>
      <c r="D114" s="62" t="s">
        <v>146</v>
      </c>
      <c r="E114" s="3"/>
      <c r="F114" s="3"/>
      <c r="G114" s="3"/>
      <c r="H114" s="3"/>
      <c r="I114" s="3"/>
      <c r="J114" s="3"/>
      <c r="K114" s="3"/>
      <c r="L114" s="62" t="s">
        <v>146</v>
      </c>
      <c r="M114" s="3"/>
      <c r="N114" s="3"/>
      <c r="O114" s="3"/>
      <c r="P114" s="3"/>
      <c r="Q114" s="3"/>
      <c r="R114" s="3"/>
      <c r="S114" s="62" t="s">
        <v>146</v>
      </c>
      <c r="T114" s="24"/>
      <c r="U114" s="24"/>
      <c r="V114" s="24"/>
      <c r="W114" s="24"/>
      <c r="X114" s="3"/>
      <c r="Y114" s="3"/>
    </row>
    <row r="115" spans="2:25" ht="15" hidden="1" outlineLevel="1" x14ac:dyDescent="0.25">
      <c r="B115" s="3"/>
      <c r="C115" s="3"/>
      <c r="D115" s="35" t="s">
        <v>116</v>
      </c>
      <c r="E115" s="35">
        <v>2020</v>
      </c>
      <c r="F115" s="35">
        <v>2025</v>
      </c>
      <c r="G115" s="35">
        <v>2030</v>
      </c>
      <c r="H115" s="34"/>
      <c r="I115" s="3"/>
      <c r="J115" s="3"/>
      <c r="K115" s="3"/>
      <c r="L115" s="35" t="s">
        <v>265</v>
      </c>
      <c r="M115" s="35">
        <v>2020</v>
      </c>
      <c r="N115" s="35">
        <v>2025</v>
      </c>
      <c r="O115" s="35">
        <v>2030</v>
      </c>
      <c r="P115" s="34"/>
      <c r="Q115" s="3"/>
      <c r="R115" s="3"/>
      <c r="S115" s="3"/>
      <c r="T115" s="46" t="s">
        <v>200</v>
      </c>
      <c r="U115" s="47">
        <v>2020</v>
      </c>
      <c r="V115" s="47">
        <v>2025</v>
      </c>
      <c r="W115" s="47">
        <v>2030</v>
      </c>
      <c r="X115" s="3"/>
      <c r="Y115" s="3"/>
    </row>
    <row r="116" spans="2:25" hidden="1" outlineLevel="1" x14ac:dyDescent="0.2">
      <c r="B116" s="3"/>
      <c r="C116" s="3"/>
      <c r="D116" s="24"/>
      <c r="E116" s="60" t="s">
        <v>92</v>
      </c>
      <c r="F116" s="59"/>
      <c r="G116" s="59"/>
      <c r="H116" s="24"/>
      <c r="I116" s="3"/>
      <c r="J116" s="3"/>
      <c r="K116" s="3"/>
      <c r="L116" s="24"/>
      <c r="M116" s="60" t="s">
        <v>92</v>
      </c>
      <c r="N116" s="59"/>
      <c r="O116" s="59"/>
      <c r="P116" s="24"/>
      <c r="Q116" s="3"/>
      <c r="R116" s="3"/>
      <c r="S116" s="3"/>
      <c r="T116" s="24"/>
      <c r="U116" s="50" t="s">
        <v>92</v>
      </c>
      <c r="V116" s="50"/>
      <c r="W116" s="59"/>
      <c r="X116" s="3"/>
      <c r="Y116" s="3"/>
    </row>
    <row r="117" spans="2:25" ht="15.75" hidden="1" outlineLevel="1" x14ac:dyDescent="0.3">
      <c r="B117" s="3"/>
      <c r="C117" s="3"/>
      <c r="D117" s="3" t="str">
        <f t="shared" ref="D117:D123" si="5">IF($I117,D78,"")</f>
        <v>Erdgas</v>
      </c>
      <c r="E117" s="10">
        <f t="shared" ref="E117:G123" si="6">IF($I117,E78,NA())</f>
        <v>8.2422000000000004</v>
      </c>
      <c r="F117" s="10">
        <f t="shared" si="6"/>
        <v>8.2422000000000004</v>
      </c>
      <c r="G117" s="10">
        <f t="shared" si="6"/>
        <v>8.2422000000000004</v>
      </c>
      <c r="H117" s="3" t="s">
        <v>164</v>
      </c>
      <c r="I117" s="361" t="b">
        <v>1</v>
      </c>
      <c r="J117" s="3"/>
      <c r="K117" s="3"/>
      <c r="L117" s="3" t="str">
        <f t="shared" ref="L117:L127" si="7">IF($Q117,L87,"")</f>
        <v>Energieträger gesamt</v>
      </c>
      <c r="M117" s="9">
        <f>IF($Q117,M87,NA())</f>
        <v>60.712972560000004</v>
      </c>
      <c r="N117" s="9">
        <f>IF($Q117,N87,NA())</f>
        <v>48.007117217457392</v>
      </c>
      <c r="O117" s="9">
        <f t="shared" ref="O117" si="8">IF($Q117,O87,NA())</f>
        <v>33.150430450606038</v>
      </c>
      <c r="P117" s="3" t="s">
        <v>164</v>
      </c>
      <c r="Q117" s="3" t="b">
        <v>1</v>
      </c>
      <c r="R117" s="3"/>
      <c r="S117" s="3"/>
      <c r="T117" s="57" t="s">
        <v>160</v>
      </c>
      <c r="U117" s="58">
        <f>SUM(U118:U124)</f>
        <v>172669</v>
      </c>
      <c r="V117" s="58">
        <f t="shared" ref="V117:W117" si="9">SUM(V118:V124)</f>
        <v>167509</v>
      </c>
      <c r="W117" s="58">
        <f t="shared" si="9"/>
        <v>167509</v>
      </c>
      <c r="X117" s="3"/>
      <c r="Y117" s="3"/>
    </row>
    <row r="118" spans="2:25" ht="15.75" hidden="1" outlineLevel="1" x14ac:dyDescent="0.3">
      <c r="B118" s="3"/>
      <c r="C118" s="3"/>
      <c r="D118" s="3" t="str">
        <f t="shared" si="5"/>
        <v/>
      </c>
      <c r="E118" s="10" t="e">
        <f t="shared" si="6"/>
        <v>#N/A</v>
      </c>
      <c r="F118" s="10" t="e">
        <f t="shared" si="6"/>
        <v>#N/A</v>
      </c>
      <c r="G118" s="10" t="e">
        <f t="shared" si="6"/>
        <v>#N/A</v>
      </c>
      <c r="H118" s="3" t="s">
        <v>164</v>
      </c>
      <c r="I118" s="361" t="b">
        <v>0</v>
      </c>
      <c r="J118" s="3"/>
      <c r="K118" s="3"/>
      <c r="L118" s="3" t="str">
        <f t="shared" si="7"/>
        <v>Transport gesamt</v>
      </c>
      <c r="M118" s="9">
        <f t="shared" ref="M118:O127" si="10">IF($Q118,M88,NA())</f>
        <v>578.62626120000004</v>
      </c>
      <c r="N118" s="9">
        <f t="shared" si="10"/>
        <v>578.62626120000004</v>
      </c>
      <c r="O118" s="9">
        <f t="shared" si="10"/>
        <v>578.62626120000004</v>
      </c>
      <c r="P118" s="3" t="s">
        <v>164</v>
      </c>
      <c r="Q118" s="3" t="b">
        <v>1</v>
      </c>
      <c r="R118" s="3"/>
      <c r="S118" s="3"/>
      <c r="T118" s="31" t="s">
        <v>32</v>
      </c>
      <c r="U118" s="52">
        <f>U79</f>
        <v>2745</v>
      </c>
      <c r="V118" s="52">
        <f t="shared" ref="V118:W118" si="11">V79</f>
        <v>2745</v>
      </c>
      <c r="W118" s="52">
        <f t="shared" si="11"/>
        <v>2745</v>
      </c>
      <c r="X118" s="3"/>
      <c r="Y118" s="3"/>
    </row>
    <row r="119" spans="2:25" ht="15.75" hidden="1" outlineLevel="1" x14ac:dyDescent="0.3">
      <c r="B119" s="3"/>
      <c r="C119" s="3"/>
      <c r="D119" s="3" t="str">
        <f t="shared" si="5"/>
        <v/>
      </c>
      <c r="E119" s="10" t="e">
        <f t="shared" si="6"/>
        <v>#N/A</v>
      </c>
      <c r="F119" s="10" t="e">
        <f t="shared" si="6"/>
        <v>#N/A</v>
      </c>
      <c r="G119" s="10" t="e">
        <f t="shared" si="6"/>
        <v>#N/A</v>
      </c>
      <c r="H119" s="3" t="s">
        <v>164</v>
      </c>
      <c r="I119" s="361" t="b">
        <v>0</v>
      </c>
      <c r="J119" s="3"/>
      <c r="K119" s="3"/>
      <c r="L119" s="3" t="str">
        <f t="shared" si="7"/>
        <v>Zement</v>
      </c>
      <c r="M119" s="9">
        <f t="shared" si="10"/>
        <v>7683.24</v>
      </c>
      <c r="N119" s="9">
        <f t="shared" si="10"/>
        <v>7683.24</v>
      </c>
      <c r="O119" s="9">
        <f t="shared" si="10"/>
        <v>7683.24</v>
      </c>
      <c r="P119" s="3" t="s">
        <v>164</v>
      </c>
      <c r="Q119" s="3" t="b">
        <v>1</v>
      </c>
      <c r="R119" s="3"/>
      <c r="S119" s="3"/>
      <c r="T119" s="31" t="s">
        <v>33</v>
      </c>
      <c r="U119" s="52">
        <f t="shared" ref="U119:W124" si="12">U80</f>
        <v>460</v>
      </c>
      <c r="V119" s="52">
        <f t="shared" si="12"/>
        <v>460</v>
      </c>
      <c r="W119" s="52">
        <f t="shared" si="12"/>
        <v>460</v>
      </c>
      <c r="X119" s="3"/>
      <c r="Y119" s="3"/>
    </row>
    <row r="120" spans="2:25" ht="15.75" hidden="1" outlineLevel="1" x14ac:dyDescent="0.3">
      <c r="B120" s="3"/>
      <c r="C120" s="3"/>
      <c r="D120" s="3" t="str">
        <f t="shared" si="5"/>
        <v/>
      </c>
      <c r="E120" s="10" t="e">
        <f t="shared" si="6"/>
        <v>#N/A</v>
      </c>
      <c r="F120" s="10" t="e">
        <f t="shared" si="6"/>
        <v>#N/A</v>
      </c>
      <c r="G120" s="10" t="e">
        <f t="shared" si="6"/>
        <v>#N/A</v>
      </c>
      <c r="H120" s="3" t="s">
        <v>164</v>
      </c>
      <c r="I120" s="361" t="b">
        <v>0</v>
      </c>
      <c r="J120" s="3"/>
      <c r="K120" s="3"/>
      <c r="L120" s="3" t="str">
        <f t="shared" si="7"/>
        <v>Gesteinskörnungen (Zuschlagsstoffe)</v>
      </c>
      <c r="M120" s="9">
        <f t="shared" si="10"/>
        <v>387.03000000000003</v>
      </c>
      <c r="N120" s="9">
        <f t="shared" si="10"/>
        <v>387.03000000000003</v>
      </c>
      <c r="O120" s="9">
        <f t="shared" si="10"/>
        <v>387.03000000000003</v>
      </c>
      <c r="P120" s="3" t="s">
        <v>164</v>
      </c>
      <c r="Q120" s="3" t="b">
        <v>1</v>
      </c>
      <c r="R120" s="3"/>
      <c r="S120" s="3"/>
      <c r="T120" s="31" t="s">
        <v>34</v>
      </c>
      <c r="U120" s="52">
        <f t="shared" si="12"/>
        <v>129000</v>
      </c>
      <c r="V120" s="52">
        <f t="shared" si="12"/>
        <v>123840</v>
      </c>
      <c r="W120" s="52">
        <f t="shared" si="12"/>
        <v>123840</v>
      </c>
      <c r="X120" s="3"/>
      <c r="Y120" s="3"/>
    </row>
    <row r="121" spans="2:25" ht="15.75" hidden="1" outlineLevel="1" x14ac:dyDescent="0.3">
      <c r="B121" s="3"/>
      <c r="C121" s="3"/>
      <c r="D121" s="3" t="str">
        <f t="shared" si="5"/>
        <v/>
      </c>
      <c r="E121" s="10" t="e">
        <f t="shared" si="6"/>
        <v>#N/A</v>
      </c>
      <c r="F121" s="10" t="e">
        <f t="shared" si="6"/>
        <v>#N/A</v>
      </c>
      <c r="G121" s="10" t="e">
        <f t="shared" si="6"/>
        <v>#N/A</v>
      </c>
      <c r="H121" s="3" t="s">
        <v>164</v>
      </c>
      <c r="I121" s="361" t="b">
        <v>0</v>
      </c>
      <c r="J121" s="3"/>
      <c r="K121" s="3"/>
      <c r="L121" s="3" t="str">
        <f t="shared" si="7"/>
        <v>Farben</v>
      </c>
      <c r="M121" s="9">
        <f t="shared" si="10"/>
        <v>1040</v>
      </c>
      <c r="N121" s="9">
        <f t="shared" si="10"/>
        <v>1040</v>
      </c>
      <c r="O121" s="9">
        <f t="shared" si="10"/>
        <v>1040</v>
      </c>
      <c r="P121" s="3" t="s">
        <v>164</v>
      </c>
      <c r="Q121" s="3" t="b">
        <v>1</v>
      </c>
      <c r="R121" s="3"/>
      <c r="S121" s="3"/>
      <c r="T121" s="31" t="s">
        <v>125</v>
      </c>
      <c r="U121" s="52">
        <f t="shared" si="12"/>
        <v>0</v>
      </c>
      <c r="V121" s="52">
        <f t="shared" si="12"/>
        <v>0</v>
      </c>
      <c r="W121" s="52">
        <f t="shared" si="12"/>
        <v>0</v>
      </c>
      <c r="X121" s="3"/>
      <c r="Y121" s="3"/>
    </row>
    <row r="122" spans="2:25" ht="15.75" hidden="1" outlineLevel="1" x14ac:dyDescent="0.3">
      <c r="B122" s="3"/>
      <c r="C122" s="3"/>
      <c r="D122" s="3" t="str">
        <f t="shared" si="5"/>
        <v/>
      </c>
      <c r="E122" s="10" t="e">
        <f t="shared" si="6"/>
        <v>#N/A</v>
      </c>
      <c r="F122" s="10" t="e">
        <f t="shared" si="6"/>
        <v>#N/A</v>
      </c>
      <c r="G122" s="10" t="e">
        <f t="shared" si="6"/>
        <v>#N/A</v>
      </c>
      <c r="H122" s="3" t="s">
        <v>164</v>
      </c>
      <c r="I122" s="361" t="b">
        <v>0</v>
      </c>
      <c r="J122" s="3"/>
      <c r="K122" s="3"/>
      <c r="L122" s="3" t="str">
        <f t="shared" si="7"/>
        <v>Zusatzstoffe (Füllstoffe)</v>
      </c>
      <c r="M122" s="9">
        <f t="shared" si="10"/>
        <v>424.19999999999993</v>
      </c>
      <c r="N122" s="9">
        <f t="shared" si="10"/>
        <v>424.19999999999993</v>
      </c>
      <c r="O122" s="9">
        <f t="shared" si="10"/>
        <v>424.19999999999993</v>
      </c>
      <c r="P122" s="3" t="s">
        <v>164</v>
      </c>
      <c r="Q122" s="3" t="b">
        <v>1</v>
      </c>
      <c r="R122" s="3"/>
      <c r="S122" s="3"/>
      <c r="T122" s="31" t="s">
        <v>126</v>
      </c>
      <c r="U122" s="52">
        <f t="shared" si="12"/>
        <v>0</v>
      </c>
      <c r="V122" s="52">
        <f t="shared" si="12"/>
        <v>0</v>
      </c>
      <c r="W122" s="52">
        <f t="shared" si="12"/>
        <v>0</v>
      </c>
      <c r="X122" s="3"/>
      <c r="Y122" s="3"/>
    </row>
    <row r="123" spans="2:25" ht="15.75" hidden="1" outlineLevel="1" x14ac:dyDescent="0.3">
      <c r="B123" s="3"/>
      <c r="C123" s="3"/>
      <c r="D123" s="3" t="str">
        <f t="shared" si="5"/>
        <v/>
      </c>
      <c r="E123" s="10" t="e">
        <f t="shared" si="6"/>
        <v>#N/A</v>
      </c>
      <c r="F123" s="10" t="e">
        <f t="shared" si="6"/>
        <v>#N/A</v>
      </c>
      <c r="G123" s="10" t="e">
        <f t="shared" si="6"/>
        <v>#N/A</v>
      </c>
      <c r="H123" s="3" t="s">
        <v>164</v>
      </c>
      <c r="I123" s="361" t="b">
        <v>0</v>
      </c>
      <c r="J123" s="3"/>
      <c r="K123" s="3"/>
      <c r="L123" s="3" t="str">
        <f t="shared" si="7"/>
        <v>Zusatzmittel</v>
      </c>
      <c r="M123" s="9">
        <f t="shared" si="10"/>
        <v>185.55932668689491</v>
      </c>
      <c r="N123" s="9">
        <f t="shared" si="10"/>
        <v>185.55932668689491</v>
      </c>
      <c r="O123" s="9">
        <f t="shared" si="10"/>
        <v>185.55932668689491</v>
      </c>
      <c r="P123" s="3" t="s">
        <v>164</v>
      </c>
      <c r="Q123" s="3" t="b">
        <v>1</v>
      </c>
      <c r="R123" s="3"/>
      <c r="S123" s="3"/>
      <c r="T123" s="31" t="s">
        <v>127</v>
      </c>
      <c r="U123" s="52">
        <f t="shared" si="12"/>
        <v>0</v>
      </c>
      <c r="V123" s="52">
        <f t="shared" si="12"/>
        <v>0</v>
      </c>
      <c r="W123" s="52">
        <f t="shared" si="12"/>
        <v>0</v>
      </c>
      <c r="X123" s="3"/>
      <c r="Y123" s="3"/>
    </row>
    <row r="124" spans="2:25" ht="16.5" hidden="1" outlineLevel="1" thickBot="1" x14ac:dyDescent="0.35">
      <c r="B124" s="3"/>
      <c r="C124" s="3"/>
      <c r="D124" s="27" t="s">
        <v>70</v>
      </c>
      <c r="E124" s="33">
        <f>SUMIF($I$117:$I$123,"WAHR",E117:E123)</f>
        <v>8.2422000000000004</v>
      </c>
      <c r="F124" s="33">
        <f>SUMIF($I$117:$I$123,"WAHR",F117:F123)</f>
        <v>8.2422000000000004</v>
      </c>
      <c r="G124" s="33">
        <f>SUMIF($I$117:$I$123,"WAHR",G117:G123)</f>
        <v>8.2422000000000004</v>
      </c>
      <c r="H124" s="27" t="s">
        <v>165</v>
      </c>
      <c r="I124" s="3"/>
      <c r="J124" s="3"/>
      <c r="K124" s="3"/>
      <c r="L124" s="3" t="str">
        <f t="shared" si="7"/>
        <v/>
      </c>
      <c r="M124" s="9" t="e">
        <f t="shared" si="10"/>
        <v>#N/A</v>
      </c>
      <c r="N124" s="9" t="e">
        <f t="shared" si="10"/>
        <v>#N/A</v>
      </c>
      <c r="O124" s="9" t="e">
        <f t="shared" si="10"/>
        <v>#N/A</v>
      </c>
      <c r="P124" s="3" t="s">
        <v>164</v>
      </c>
      <c r="Q124" s="3" t="b">
        <v>0</v>
      </c>
      <c r="R124" s="3"/>
      <c r="S124" s="3"/>
      <c r="T124" s="51" t="s">
        <v>35</v>
      </c>
      <c r="U124" s="53">
        <f t="shared" si="12"/>
        <v>40464.000000000007</v>
      </c>
      <c r="V124" s="54">
        <f t="shared" si="12"/>
        <v>40464</v>
      </c>
      <c r="W124" s="54">
        <f t="shared" si="12"/>
        <v>40464</v>
      </c>
      <c r="X124" s="3"/>
      <c r="Y124" s="3"/>
    </row>
    <row r="125" spans="2:25" ht="16.5" hidden="1" outlineLevel="1" thickTop="1" x14ac:dyDescent="0.3">
      <c r="B125" s="3"/>
      <c r="C125" s="3"/>
      <c r="D125" s="3"/>
      <c r="E125" s="3"/>
      <c r="F125" s="3"/>
      <c r="G125" s="3"/>
      <c r="H125" s="3"/>
      <c r="I125" s="3"/>
      <c r="J125" s="3"/>
      <c r="K125" s="3"/>
      <c r="L125" s="3" t="str">
        <f t="shared" si="7"/>
        <v/>
      </c>
      <c r="M125" s="9" t="e">
        <f t="shared" si="10"/>
        <v>#N/A</v>
      </c>
      <c r="N125" s="9" t="e">
        <f t="shared" si="10"/>
        <v>#N/A</v>
      </c>
      <c r="O125" s="9" t="e">
        <f t="shared" si="10"/>
        <v>#N/A</v>
      </c>
      <c r="P125" s="3" t="s">
        <v>164</v>
      </c>
      <c r="Q125" s="3" t="b">
        <v>0</v>
      </c>
      <c r="R125" s="3"/>
      <c r="S125" s="3"/>
      <c r="T125" s="8" t="str">
        <f>IF(X125,"CAPEX","")</f>
        <v>CAPEX</v>
      </c>
      <c r="U125" s="55">
        <f>IF($X125,U86,NA())</f>
        <v>0</v>
      </c>
      <c r="V125" s="55">
        <f t="shared" ref="V125:W127" si="13">IF($X125,V86,NA())</f>
        <v>1800</v>
      </c>
      <c r="W125" s="55">
        <f t="shared" si="13"/>
        <v>1800</v>
      </c>
      <c r="X125" s="361" t="b">
        <v>1</v>
      </c>
      <c r="Y125" s="3"/>
    </row>
    <row r="126" spans="2:25" ht="15.75" hidden="1" outlineLevel="1" x14ac:dyDescent="0.3">
      <c r="B126" s="3"/>
      <c r="C126" s="3"/>
      <c r="D126" s="3"/>
      <c r="E126" s="3"/>
      <c r="F126" s="3"/>
      <c r="G126" s="3"/>
      <c r="H126" s="3"/>
      <c r="I126" s="3"/>
      <c r="J126" s="3"/>
      <c r="K126" s="3"/>
      <c r="L126" s="3" t="str">
        <f t="shared" si="7"/>
        <v/>
      </c>
      <c r="M126" s="9" t="e">
        <f t="shared" si="10"/>
        <v>#N/A</v>
      </c>
      <c r="N126" s="9" t="e">
        <f t="shared" si="10"/>
        <v>#N/A</v>
      </c>
      <c r="O126" s="9" t="e">
        <f t="shared" si="10"/>
        <v>#N/A</v>
      </c>
      <c r="P126" s="3" t="s">
        <v>164</v>
      </c>
      <c r="Q126" s="3" t="b">
        <v>0</v>
      </c>
      <c r="R126" s="3"/>
      <c r="S126" s="3"/>
      <c r="T126" s="8" t="str">
        <f>IF(X126,"Zusätzliche jährliche Kosten","")</f>
        <v/>
      </c>
      <c r="U126" s="55" t="e">
        <f>IF($X126,U87,NA())</f>
        <v>#N/A</v>
      </c>
      <c r="V126" s="55" t="e">
        <f t="shared" si="13"/>
        <v>#N/A</v>
      </c>
      <c r="W126" s="55" t="e">
        <f t="shared" si="13"/>
        <v>#N/A</v>
      </c>
      <c r="X126" s="361" t="b">
        <v>0</v>
      </c>
      <c r="Y126" s="3"/>
    </row>
    <row r="127" spans="2:25" ht="15.75" hidden="1" outlineLevel="1" x14ac:dyDescent="0.3">
      <c r="B127" s="3"/>
      <c r="C127" s="3"/>
      <c r="D127" s="3"/>
      <c r="E127" s="3"/>
      <c r="F127" s="3"/>
      <c r="G127" s="3"/>
      <c r="H127" s="3"/>
      <c r="I127" s="3"/>
      <c r="J127" s="3"/>
      <c r="K127" s="3"/>
      <c r="L127" s="3" t="str">
        <f t="shared" si="7"/>
        <v>Verpackungsmaterial</v>
      </c>
      <c r="M127" s="9">
        <f t="shared" si="10"/>
        <v>161.20000000000002</v>
      </c>
      <c r="N127" s="9">
        <f t="shared" si="10"/>
        <v>161.20000000000002</v>
      </c>
      <c r="O127" s="9">
        <f t="shared" si="10"/>
        <v>161.20000000000002</v>
      </c>
      <c r="P127" s="3" t="s">
        <v>164</v>
      </c>
      <c r="Q127" s="3" t="b">
        <v>1</v>
      </c>
      <c r="R127" s="3"/>
      <c r="S127" s="3"/>
      <c r="T127" s="59" t="str">
        <f>IF(X127,"Einmalige Kosten","")</f>
        <v/>
      </c>
      <c r="U127" s="55" t="e">
        <f>IF($X127,U88,NA())</f>
        <v>#N/A</v>
      </c>
      <c r="V127" s="55" t="e">
        <f t="shared" si="13"/>
        <v>#N/A</v>
      </c>
      <c r="W127" s="55" t="e">
        <f t="shared" si="13"/>
        <v>#N/A</v>
      </c>
      <c r="X127" s="361" t="b">
        <v>0</v>
      </c>
      <c r="Y127" s="3"/>
    </row>
    <row r="128" spans="2:25" ht="15" hidden="1" outlineLevel="1" thickBot="1" x14ac:dyDescent="0.3">
      <c r="B128" s="3"/>
      <c r="C128" s="3"/>
      <c r="D128" s="3"/>
      <c r="E128" s="3"/>
      <c r="F128" s="3"/>
      <c r="G128" s="3"/>
      <c r="H128" s="3"/>
      <c r="I128" s="3"/>
      <c r="J128" s="3"/>
      <c r="K128" s="3"/>
      <c r="L128" s="27" t="s">
        <v>70</v>
      </c>
      <c r="M128" s="28">
        <f>SUMIF($Q$117:$Q$127,"WAHR",M117:M127)</f>
        <v>10520.568560446896</v>
      </c>
      <c r="N128" s="28">
        <f t="shared" ref="N128:O128" si="14">SUMIF($Q$117:$Q$127,"WAHR",N117:N127)</f>
        <v>10507.862705104353</v>
      </c>
      <c r="O128" s="28">
        <f t="shared" si="14"/>
        <v>10493.006018337503</v>
      </c>
      <c r="P128" s="27" t="s">
        <v>165</v>
      </c>
      <c r="Q128" s="3"/>
      <c r="R128" s="3"/>
      <c r="S128" s="3"/>
      <c r="T128" s="57" t="str">
        <f>IF(X128,"CO2-Kosten","")</f>
        <v>CO2-Kosten</v>
      </c>
      <c r="U128" s="58">
        <f>IF($X$128,SUMIF($X$129:$X$131,"WAHR",U129:U131),NA())</f>
        <v>272843.09601517254</v>
      </c>
      <c r="V128" s="58">
        <f t="shared" ref="V128:W128" si="15">IF($X$128,SUMIF($X$129:$X$131,"WAHR",V129:V131),NA())</f>
        <v>486645.56552728347</v>
      </c>
      <c r="W128" s="58">
        <f t="shared" si="15"/>
        <v>855851.63090010255</v>
      </c>
      <c r="X128" s="361" t="b">
        <v>1</v>
      </c>
      <c r="Y128" s="3"/>
    </row>
    <row r="129" spans="2:25" ht="16.5" hidden="1" outlineLevel="1" thickTop="1" x14ac:dyDescent="0.3">
      <c r="B129" s="3"/>
      <c r="C129" s="3"/>
      <c r="D129" s="3"/>
      <c r="E129" s="3"/>
      <c r="F129" s="3"/>
      <c r="G129" s="3"/>
      <c r="H129" s="3"/>
      <c r="I129" s="3"/>
      <c r="J129" s="3"/>
      <c r="K129" s="3"/>
      <c r="L129" s="3"/>
      <c r="M129" s="3"/>
      <c r="N129" s="3"/>
      <c r="O129" s="3"/>
      <c r="P129" s="3"/>
      <c r="Q129" s="3"/>
      <c r="R129" s="3"/>
      <c r="S129" s="3"/>
      <c r="T129" s="31" t="s">
        <v>157</v>
      </c>
      <c r="U129" s="52">
        <f>IF($X129,U90,NA())</f>
        <v>2665.0220039999999</v>
      </c>
      <c r="V129" s="52">
        <f t="shared" ref="V129:W129" si="16">IF($X129,V90,NA())</f>
        <v>4797.0396071999994</v>
      </c>
      <c r="W129" s="52">
        <f t="shared" si="16"/>
        <v>8528.0704127999998</v>
      </c>
      <c r="X129" s="361" t="b">
        <v>1</v>
      </c>
      <c r="Y129" s="3"/>
    </row>
    <row r="130" spans="2:25" ht="15.75" hidden="1" outlineLevel="1" x14ac:dyDescent="0.3">
      <c r="B130" s="3"/>
      <c r="C130" s="3"/>
      <c r="D130" s="3"/>
      <c r="E130" s="3"/>
      <c r="F130" s="3"/>
      <c r="G130" s="3"/>
      <c r="H130" s="3"/>
      <c r="I130" s="3"/>
      <c r="J130" s="3"/>
      <c r="K130" s="3"/>
      <c r="L130" s="3"/>
      <c r="M130" s="3"/>
      <c r="N130" s="3"/>
      <c r="O130" s="3"/>
      <c r="P130" s="3"/>
      <c r="Q130" s="3"/>
      <c r="R130" s="3"/>
      <c r="S130" s="3"/>
      <c r="T130" s="31" t="s">
        <v>158</v>
      </c>
      <c r="U130" s="52">
        <f t="shared" ref="U130:W131" si="17">IF($X130,U91,NA())</f>
        <v>7162.5</v>
      </c>
      <c r="V130" s="52">
        <f t="shared" si="17"/>
        <v>8992.2561903873648</v>
      </c>
      <c r="W130" s="52">
        <f t="shared" si="17"/>
        <v>7878.7270203021508</v>
      </c>
      <c r="X130" s="361" t="b">
        <v>1</v>
      </c>
      <c r="Y130" s="3"/>
    </row>
    <row r="131" spans="2:25" ht="15.75" hidden="1" outlineLevel="1" x14ac:dyDescent="0.3">
      <c r="B131" s="3"/>
      <c r="C131" s="3"/>
      <c r="D131" s="102" t="str">
        <f>IF(AND($G$21&gt;0,K21&lt;G21),"Bitte den Handeingabewert 'Reduktion' für 2030 auch anpassen. Dieser muss dem Werte Ihrer Handeingabe 2025 entsprechen, sollte nur eine Maßnahme in 2025 umgesetzt werden.","")</f>
        <v/>
      </c>
      <c r="E131" s="3"/>
      <c r="F131" s="3"/>
      <c r="G131" s="3"/>
      <c r="H131" s="3"/>
      <c r="I131" s="3"/>
      <c r="J131" s="3"/>
      <c r="K131" s="3"/>
      <c r="L131" s="3"/>
      <c r="M131" s="3"/>
      <c r="N131" s="3"/>
      <c r="O131" s="3"/>
      <c r="P131" s="3"/>
      <c r="Q131" s="3"/>
      <c r="R131" s="3"/>
      <c r="S131" s="3"/>
      <c r="T131" s="31" t="s">
        <v>159</v>
      </c>
      <c r="U131" s="52">
        <f t="shared" si="17"/>
        <v>263015.57401117252</v>
      </c>
      <c r="V131" s="52">
        <f t="shared" si="17"/>
        <v>472856.2697296961</v>
      </c>
      <c r="W131" s="52">
        <f t="shared" si="17"/>
        <v>839444.8334670004</v>
      </c>
      <c r="X131" s="361" t="b">
        <v>1</v>
      </c>
      <c r="Y131" s="3"/>
    </row>
    <row r="132" spans="2:25" ht="13.5" hidden="1" outlineLevel="1" thickBot="1" x14ac:dyDescent="0.25">
      <c r="B132" s="3"/>
      <c r="C132" s="3"/>
      <c r="D132" s="3"/>
      <c r="E132" s="3"/>
      <c r="F132" s="3"/>
      <c r="G132" s="3"/>
      <c r="H132" s="3"/>
      <c r="I132" s="3"/>
      <c r="J132" s="3"/>
      <c r="K132" s="3"/>
      <c r="L132" s="3"/>
      <c r="M132" s="3"/>
      <c r="N132" s="3"/>
      <c r="O132" s="3"/>
      <c r="P132" s="3"/>
      <c r="Q132" s="3"/>
      <c r="R132" s="3"/>
      <c r="S132" s="3"/>
      <c r="T132" s="27" t="s">
        <v>70</v>
      </c>
      <c r="U132" s="56">
        <f>IF($X$128,U128,0)+IF($X$127,U127,0)+IF($X$126,U126,0)+IF($X$125,U125,0)+U117</f>
        <v>445512.09601517254</v>
      </c>
      <c r="V132" s="56">
        <f t="shared" ref="V132:W132" si="18">IF($X$128,V128,0)+IF($X$127,V127,0)+IF($X$126,V126,0)+IF($X$125,V125,0)+V117</f>
        <v>655954.56552728347</v>
      </c>
      <c r="W132" s="56">
        <f t="shared" si="18"/>
        <v>1025160.6309001026</v>
      </c>
      <c r="X132" s="361"/>
      <c r="Y132" s="3"/>
    </row>
    <row r="133" spans="2:25" ht="13.5" hidden="1" outlineLevel="1" thickTop="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hidden="1" outlineLevel="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hidden="1" outlineLevel="1" x14ac:dyDescent="0.2">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2:25" hidden="1" outlineLevel="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hidden="1" outlineLevel="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hidden="1" outlineLevel="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hidden="1" outlineLevel="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hidden="1" outlineLevel="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2:25" collapsed="1" x14ac:dyDescent="0.2"/>
    <row r="143" spans="2:25" ht="15.75" hidden="1" outlineLevel="1" x14ac:dyDescent="0.25">
      <c r="B143" s="22"/>
      <c r="C143" s="22" t="s">
        <v>117</v>
      </c>
      <c r="D143" s="17"/>
      <c r="E143" s="17"/>
      <c r="F143" s="17"/>
      <c r="G143" s="17"/>
      <c r="H143" s="17"/>
      <c r="I143" s="17"/>
      <c r="J143" s="17"/>
      <c r="K143" s="17"/>
      <c r="L143" s="17"/>
      <c r="N143" s="22" t="s">
        <v>120</v>
      </c>
      <c r="O143" s="17"/>
      <c r="P143" s="17"/>
      <c r="Q143" s="17"/>
      <c r="R143" s="17"/>
      <c r="S143" s="17"/>
      <c r="T143" s="17"/>
    </row>
    <row r="144" spans="2:25" ht="15" hidden="1" outlineLevel="1" x14ac:dyDescent="0.25">
      <c r="B144" s="64"/>
      <c r="C144" s="64">
        <v>2025</v>
      </c>
      <c r="D144" s="17"/>
      <c r="E144" s="17"/>
      <c r="F144" s="17"/>
      <c r="G144" s="17"/>
      <c r="H144" s="17"/>
      <c r="I144" s="17"/>
      <c r="J144" s="17"/>
      <c r="K144" s="17"/>
      <c r="L144" s="17"/>
      <c r="N144" s="64">
        <v>2025</v>
      </c>
      <c r="O144" s="17"/>
      <c r="P144" s="17"/>
      <c r="Q144" s="17"/>
      <c r="R144" s="17"/>
      <c r="S144" s="17"/>
      <c r="T144" s="17"/>
    </row>
    <row r="145" spans="2:20" hidden="1" outlineLevel="1" x14ac:dyDescent="0.2">
      <c r="B145" s="17"/>
      <c r="C145" s="17"/>
      <c r="D145" s="17" t="s">
        <v>207</v>
      </c>
      <c r="E145" s="315">
        <f>(1-(IF(NOT(ISBLANK($G21)),$G21/100,$E21/100)))</f>
        <v>0.95</v>
      </c>
      <c r="F145" s="17"/>
      <c r="G145" s="17"/>
      <c r="H145" s="17"/>
      <c r="I145" s="17"/>
      <c r="J145" s="17"/>
      <c r="K145" s="17"/>
      <c r="L145" s="17"/>
      <c r="N145" s="21"/>
      <c r="O145" s="17"/>
      <c r="P145" s="17"/>
      <c r="Q145" s="17"/>
      <c r="R145" s="17"/>
      <c r="S145" s="17"/>
      <c r="T145" s="17"/>
    </row>
    <row r="146" spans="2:20" hidden="1" outlineLevel="1" x14ac:dyDescent="0.2">
      <c r="B146" s="17"/>
      <c r="C146" s="17"/>
      <c r="D146" s="17" t="s">
        <v>75</v>
      </c>
      <c r="E146" s="315" t="str">
        <f>IF(NOT(ISBLANK($G$16)),$G$16,$E$16)</f>
        <v>Strom</v>
      </c>
      <c r="F146" s="17"/>
      <c r="G146" s="17"/>
      <c r="H146" s="17"/>
      <c r="I146" s="17"/>
      <c r="J146" s="17"/>
      <c r="K146" s="17"/>
      <c r="L146" s="17"/>
      <c r="N146" s="21"/>
      <c r="O146" s="17"/>
      <c r="P146" s="17"/>
      <c r="Q146" s="17"/>
      <c r="R146" s="17"/>
      <c r="S146" s="17"/>
      <c r="T146" s="17"/>
    </row>
    <row r="147" spans="2:20" hidden="1" outlineLevel="1" x14ac:dyDescent="0.2">
      <c r="B147" s="17"/>
      <c r="C147" s="17"/>
      <c r="D147" s="17"/>
      <c r="E147" s="316" t="s">
        <v>92</v>
      </c>
      <c r="F147" s="17" t="s">
        <v>257</v>
      </c>
      <c r="G147" s="17"/>
      <c r="H147" s="17"/>
      <c r="I147" s="17"/>
      <c r="J147" s="17"/>
      <c r="K147" s="17"/>
      <c r="L147" s="17"/>
      <c r="N147" s="21"/>
      <c r="O147" s="17"/>
      <c r="P147" s="17"/>
      <c r="Q147" s="17"/>
      <c r="R147" s="17"/>
      <c r="S147" s="17"/>
      <c r="T147" s="17"/>
    </row>
    <row r="148" spans="2:20" hidden="1" outlineLevel="1" x14ac:dyDescent="0.2">
      <c r="B148" s="17"/>
      <c r="C148" s="17"/>
      <c r="D148" s="17" t="s">
        <v>32</v>
      </c>
      <c r="E148" s="42">
        <f>IF(NOT(ISBLANK('Referenz Pflasterwerk'!$I$21)),'Referenz Pflasterwerk'!$I$21,'Referenz Pflasterwerk'!$F$21)</f>
        <v>36000</v>
      </c>
      <c r="F148" s="42">
        <f>IF($E$146=D148,E148*$E$145,E148)</f>
        <v>36000</v>
      </c>
      <c r="G148" s="17" t="str">
        <f>'Referenz Pflasterwerk'!$G$21</f>
        <v>kWh Hs</v>
      </c>
      <c r="H148" s="17"/>
      <c r="I148" s="17"/>
      <c r="J148" s="17"/>
      <c r="K148" s="17"/>
      <c r="L148" s="17"/>
      <c r="N148" s="21"/>
      <c r="O148" s="17"/>
      <c r="P148" s="17"/>
      <c r="Q148" s="17"/>
      <c r="R148" s="17"/>
      <c r="S148" s="17"/>
      <c r="T148" s="17"/>
    </row>
    <row r="149" spans="2:20" hidden="1" outlineLevel="1" x14ac:dyDescent="0.2">
      <c r="B149" s="17"/>
      <c r="C149" s="17"/>
      <c r="D149" s="17" t="s">
        <v>33</v>
      </c>
      <c r="E149" s="42">
        <f>IF(NOT(ISBLANK('Referenz Pflasterwerk'!$I$22)),'Referenz Pflasterwerk'!$I$22,'Referenz Pflasterwerk'!$F$22)</f>
        <v>8000</v>
      </c>
      <c r="F149" s="42">
        <f t="shared" ref="F149:F152" si="19">IF($E$146=D149,E149*$E$145,E149)</f>
        <v>8000</v>
      </c>
      <c r="G149" s="17" t="str">
        <f>'Referenz Pflasterwerk'!$G$22</f>
        <v>kWh Hi</v>
      </c>
      <c r="H149" s="17"/>
      <c r="I149" s="17"/>
      <c r="J149" s="17"/>
      <c r="K149" s="17"/>
      <c r="L149" s="17"/>
      <c r="N149" s="21"/>
      <c r="O149" s="17"/>
      <c r="P149" s="17"/>
      <c r="Q149" s="17"/>
      <c r="R149" s="17"/>
      <c r="S149" s="17"/>
      <c r="T149" s="17"/>
    </row>
    <row r="150" spans="2:20" hidden="1" outlineLevel="1" x14ac:dyDescent="0.2">
      <c r="B150" s="17"/>
      <c r="C150" s="17"/>
      <c r="D150" s="17" t="s">
        <v>34</v>
      </c>
      <c r="E150" s="42">
        <f>IF(NOT(ISBLANK('Referenz Pflasterwerk'!$I$24)),'Referenz Pflasterwerk'!$I$24,'Referenz Pflasterwerk'!$F$24)</f>
        <v>600000</v>
      </c>
      <c r="F150" s="42">
        <f>IF($E$146=D150,E150*$E$145,E150)</f>
        <v>570000</v>
      </c>
      <c r="G150" s="17" t="str">
        <f>'Referenz Pflasterwerk'!$J$24</f>
        <v>kWh</v>
      </c>
      <c r="H150" s="17"/>
      <c r="I150" s="17"/>
      <c r="J150" s="17"/>
      <c r="K150" s="17"/>
      <c r="L150" s="17"/>
      <c r="N150" s="21"/>
      <c r="O150" s="17"/>
      <c r="P150" s="17"/>
      <c r="Q150" s="17"/>
      <c r="R150" s="17"/>
      <c r="S150" s="17"/>
      <c r="T150" s="17"/>
    </row>
    <row r="151" spans="2:20" hidden="1" outlineLevel="1" x14ac:dyDescent="0.2">
      <c r="B151" s="17"/>
      <c r="C151" s="17"/>
      <c r="D151" s="17" t="s">
        <v>125</v>
      </c>
      <c r="E151" s="42">
        <f>IF(NOT(ISBLANK('Referenz Pflasterwerk'!$I$25)),'Referenz Pflasterwerk'!$I$25,'Referenz Pflasterwerk'!$F$25)</f>
        <v>0</v>
      </c>
      <c r="F151" s="42">
        <f t="shared" si="19"/>
        <v>0</v>
      </c>
      <c r="G151" s="17" t="str">
        <f>'Referenz Pflasterwerk'!$J$25</f>
        <v>kWh</v>
      </c>
      <c r="H151" s="17"/>
      <c r="I151" s="17"/>
      <c r="J151" s="17"/>
      <c r="K151" s="17"/>
      <c r="L151" s="17"/>
      <c r="N151" s="21"/>
      <c r="O151" s="17"/>
      <c r="P151" s="17"/>
      <c r="Q151" s="17"/>
      <c r="R151" s="17"/>
      <c r="S151" s="17"/>
      <c r="T151" s="17"/>
    </row>
    <row r="152" spans="2:20" hidden="1" outlineLevel="1" x14ac:dyDescent="0.2">
      <c r="B152" s="17"/>
      <c r="C152" s="17"/>
      <c r="D152" s="17" t="s">
        <v>132</v>
      </c>
      <c r="E152" s="42">
        <f>IF(NOT(ISBLANK('Referenz Pflasterwerk'!$I$26)),'Referenz Pflasterwerk'!$I$26,'Referenz Pflasterwerk'!$F$26)</f>
        <v>0</v>
      </c>
      <c r="F152" s="42">
        <f t="shared" si="19"/>
        <v>0</v>
      </c>
      <c r="G152" s="17" t="str">
        <f>'Referenz Pflasterwerk'!$J$26</f>
        <v>kWh</v>
      </c>
      <c r="H152" s="17"/>
      <c r="I152" s="17"/>
      <c r="J152" s="17"/>
      <c r="K152" s="17"/>
      <c r="L152" s="17"/>
      <c r="N152" s="21"/>
      <c r="O152" s="17"/>
      <c r="P152" s="17"/>
      <c r="Q152" s="17"/>
      <c r="R152" s="17"/>
      <c r="S152" s="17"/>
      <c r="T152" s="17"/>
    </row>
    <row r="153" spans="2:20" hidden="1" outlineLevel="1" x14ac:dyDescent="0.2">
      <c r="B153" s="17"/>
      <c r="C153" s="17"/>
      <c r="D153" s="17"/>
      <c r="E153" s="17"/>
      <c r="F153" s="20"/>
      <c r="G153" s="20"/>
      <c r="H153" s="20"/>
      <c r="I153" s="17"/>
      <c r="J153" s="17"/>
      <c r="K153" s="17"/>
      <c r="L153" s="17"/>
      <c r="N153" s="17"/>
      <c r="O153" s="17"/>
      <c r="P153" s="17"/>
      <c r="Q153" s="17"/>
      <c r="R153" s="17"/>
      <c r="S153" s="17"/>
      <c r="T153" s="17"/>
    </row>
    <row r="154" spans="2:20" ht="25.5" hidden="1" outlineLevel="1" x14ac:dyDescent="0.2">
      <c r="B154" s="17"/>
      <c r="C154" s="17"/>
      <c r="D154" s="17"/>
      <c r="E154" s="17"/>
      <c r="F154" s="36" t="s">
        <v>27</v>
      </c>
      <c r="G154" s="36" t="s">
        <v>85</v>
      </c>
      <c r="H154" s="36" t="s">
        <v>29</v>
      </c>
      <c r="I154" s="17"/>
      <c r="J154" s="40" t="s">
        <v>114</v>
      </c>
      <c r="K154" s="41" t="s">
        <v>40</v>
      </c>
      <c r="L154" s="17"/>
      <c r="N154" s="17"/>
      <c r="O154" s="17"/>
      <c r="P154" s="17"/>
      <c r="Q154" s="18"/>
      <c r="R154" s="18"/>
      <c r="S154" s="18"/>
      <c r="T154" s="18"/>
    </row>
    <row r="155" spans="2:20" ht="14.25" hidden="1" outlineLevel="1" x14ac:dyDescent="0.25">
      <c r="B155" s="76"/>
      <c r="C155" s="76" t="s">
        <v>191</v>
      </c>
      <c r="D155" s="76"/>
      <c r="E155" s="76"/>
      <c r="F155" s="77">
        <f>SUM(F157:F170)</f>
        <v>106.60088015999999</v>
      </c>
      <c r="G155" s="77">
        <f t="shared" ref="G155:H155" si="20">SUM(G157:G170)</f>
        <v>199.82791534194143</v>
      </c>
      <c r="H155" s="77">
        <f t="shared" si="20"/>
        <v>48.007117217457392</v>
      </c>
      <c r="I155" s="76"/>
      <c r="J155" s="77">
        <f>F155+G155</f>
        <v>306.42879550194141</v>
      </c>
      <c r="K155" s="77">
        <f>SUM(F155:H155)</f>
        <v>354.4359127193988</v>
      </c>
      <c r="L155" s="76" t="s">
        <v>198</v>
      </c>
      <c r="N155" s="17"/>
      <c r="O155" s="17"/>
      <c r="P155" s="17"/>
      <c r="Q155" s="18"/>
      <c r="R155" s="18"/>
      <c r="S155" s="18"/>
      <c r="T155" s="18"/>
    </row>
    <row r="156" spans="2:20" hidden="1" outlineLevel="1" x14ac:dyDescent="0.2">
      <c r="B156" s="17"/>
      <c r="C156" s="17" t="s">
        <v>148</v>
      </c>
      <c r="D156" s="17"/>
      <c r="E156" s="17"/>
      <c r="F156" s="17"/>
      <c r="G156" s="17"/>
      <c r="H156" s="17"/>
      <c r="I156" s="17"/>
      <c r="J156" s="17"/>
      <c r="K156" s="17"/>
      <c r="L156" s="17"/>
      <c r="N156" s="17" t="s">
        <v>148</v>
      </c>
      <c r="O156" s="17"/>
      <c r="P156" s="17"/>
      <c r="Q156" s="18"/>
      <c r="R156" s="18"/>
      <c r="S156" s="18"/>
      <c r="T156" s="18"/>
    </row>
    <row r="157" spans="2:20" ht="15.75" hidden="1" outlineLevel="1" x14ac:dyDescent="0.3">
      <c r="B157" s="302"/>
      <c r="C157" s="17"/>
      <c r="D157" s="17" t="s">
        <v>128</v>
      </c>
      <c r="E157" s="17"/>
      <c r="F157" s="38">
        <f>IF(NOT(ISBLANK('Referenz Pflasterwerk'!$I16)),'Referenz Pflasterwerk'!$I16,'Referenz Pflasterwerk'!$F16)*IF(NOT(ISBLANK('Eingabe EF'!$AA9)),'Eingabe EF'!$AA9,'Eingabe EF'!$Y9)</f>
        <v>1.6484399999999999</v>
      </c>
      <c r="G157" s="38">
        <f>IF(NOT(ISBLANK('Referenz Pflasterwerk'!$I16)),'Referenz Pflasterwerk'!$I16,'Referenz Pflasterwerk'!$F16)*IF(NOT(ISBLANK('Eingabe EF'!$AE9)),'Eingabe EF'!$AE9,'Eingabe EF'!$AC9)</f>
        <v>0</v>
      </c>
      <c r="H157" s="38">
        <f>IF(NOT(ISBLANK('Referenz Pflasterwerk'!$I16)),'Referenz Pflasterwerk'!$I16,'Referenz Pflasterwerk'!$F16)*IF(NOT(ISBLANK('Eingabe EF'!$AI9)),'Eingabe EF'!$AI9,'Eingabe EF'!$AG9)</f>
        <v>0.28215000000000001</v>
      </c>
      <c r="I157" s="17"/>
      <c r="J157" s="38">
        <f>F157+G157</f>
        <v>1.6484399999999999</v>
      </c>
      <c r="K157" s="38">
        <f>SUM(F157:H157)</f>
        <v>1.93059</v>
      </c>
      <c r="L157" s="17" t="s">
        <v>199</v>
      </c>
      <c r="N157" s="302"/>
      <c r="O157" s="17" t="s">
        <v>128</v>
      </c>
      <c r="P157" s="17"/>
      <c r="Q157" s="19"/>
      <c r="R157" s="20"/>
      <c r="S157" s="42">
        <f>IF(NOT(ISBLANK('Referenz Pflasterwerk'!$I16)),'Referenz Pflasterwerk'!$I16,'Referenz Pflasterwerk'!$F16)/1000*IF(NOT(ISBLANK('Eingabe Preise'!$K10)),'Eingabe Preise'!$K10,'Eingabe Preise'!$I10)</f>
        <v>549</v>
      </c>
      <c r="T157" s="20" t="s">
        <v>109</v>
      </c>
    </row>
    <row r="158" spans="2:20" ht="15.75" hidden="1" outlineLevel="1" x14ac:dyDescent="0.3">
      <c r="B158" s="302"/>
      <c r="C158" s="17"/>
      <c r="D158" s="17" t="s">
        <v>166</v>
      </c>
      <c r="E158" s="17"/>
      <c r="F158" s="38">
        <f>IF(NOT(ISBLANK('Referenz Pflasterwerk'!$I17)),'Referenz Pflasterwerk'!$I17,'Referenz Pflasterwerk'!$F17)*IF(NOT(ISBLANK('Eingabe EF'!$AA10)),'Eingabe EF'!$AA10,'Eingabe EF'!$Y10)</f>
        <v>0.53351999999999999</v>
      </c>
      <c r="G158" s="38">
        <f>IF(NOT(ISBLANK('Referenz Pflasterwerk'!$I17)),'Referenz Pflasterwerk'!$I17,'Referenz Pflasterwerk'!$F17)*IF(NOT(ISBLANK('Eingabe EF'!$AE10)),'Eingabe EF'!$AE10,'Eingabe EF'!$AC10)</f>
        <v>0</v>
      </c>
      <c r="H158" s="38">
        <f>IF(NOT(ISBLANK('Referenz Pflasterwerk'!$I17)),'Referenz Pflasterwerk'!$I17,'Referenz Pflasterwerk'!$F17)*IF(NOT(ISBLANK('Eingabe EF'!$AI10)),'Eingabe EF'!$AI10,'Eingabe EF'!$AG10)</f>
        <v>7.9152E-2</v>
      </c>
      <c r="I158" s="17"/>
      <c r="J158" s="38">
        <f>F158+G158</f>
        <v>0.53351999999999999</v>
      </c>
      <c r="K158" s="38">
        <f>SUM(F158:H158)</f>
        <v>0.61267199999999999</v>
      </c>
      <c r="L158" s="17" t="s">
        <v>199</v>
      </c>
      <c r="N158" s="302"/>
      <c r="O158" s="17" t="s">
        <v>166</v>
      </c>
      <c r="P158" s="17"/>
      <c r="Q158" s="20"/>
      <c r="R158" s="20"/>
      <c r="S158" s="42">
        <f>IF(NOT(ISBLANK('Referenz Pflasterwerk'!$I17)),'Referenz Pflasterwerk'!$I17,'Referenz Pflasterwerk'!$F17)/1000*IF(NOT(ISBLANK('Eingabe Preise'!$K11)),'Eingabe Preise'!$K11,'Eingabe Preise'!$I11)</f>
        <v>92</v>
      </c>
      <c r="T158" s="20" t="s">
        <v>109</v>
      </c>
    </row>
    <row r="159" spans="2:20" ht="15.75" hidden="1" outlineLevel="1" x14ac:dyDescent="0.3">
      <c r="B159" s="302"/>
      <c r="C159" s="17"/>
      <c r="D159" s="17" t="s">
        <v>167</v>
      </c>
      <c r="E159" s="17"/>
      <c r="F159" s="38">
        <f>IF(NOT(ISBLANK('Referenz Pflasterwerk'!$I18)),'Referenz Pflasterwerk'!$I18,'Referenz Pflasterwerk'!$F18)*IF(NOT(ISBLANK('Eingabe EF'!$AA11)),'Eingabe EF'!$AA11,'Eingabe EF'!$Y11)</f>
        <v>0</v>
      </c>
      <c r="G159" s="38">
        <f>IF(NOT(ISBLANK('Referenz Pflasterwerk'!$I18)),'Referenz Pflasterwerk'!$I18,'Referenz Pflasterwerk'!$F18)*IF(NOT(ISBLANK('Eingabe EF'!$AE11)),'Eingabe EF'!$AE11,'Eingabe EF'!$AC11)</f>
        <v>41.630815696237796</v>
      </c>
      <c r="H159" s="38">
        <f>IF(NOT(ISBLANK('Referenz Pflasterwerk'!$I18)),'Referenz Pflasterwerk'!$I18,'Referenz Pflasterwerk'!$F18)*IF(NOT(ISBLANK('Eingabe EF'!$AI11)),'Eingabe EF'!$AI11,'Eingabe EF'!$AG11)</f>
        <v>6.1029468036369554</v>
      </c>
      <c r="I159" s="17"/>
      <c r="J159" s="38">
        <f>F159+G159</f>
        <v>41.630815696237796</v>
      </c>
      <c r="K159" s="38">
        <f>SUM(F159:H159)</f>
        <v>47.73376249987475</v>
      </c>
      <c r="L159" s="17" t="s">
        <v>199</v>
      </c>
      <c r="N159" s="302"/>
      <c r="O159" s="17" t="s">
        <v>167</v>
      </c>
      <c r="P159" s="17"/>
      <c r="Q159" s="20"/>
      <c r="R159" s="20"/>
      <c r="S159" s="42">
        <f>IF(NOT(ISBLANK('Referenz Pflasterwerk'!$I18)),'Referenz Pflasterwerk'!$I18,'Referenz Pflasterwerk'!$F18)/1000*IF(NOT(ISBLANK('Eingabe Preise'!$K12)),'Eingabe Preise'!$K12,'Eingabe Preise'!$I12)</f>
        <v>25800</v>
      </c>
      <c r="T159" s="20" t="s">
        <v>109</v>
      </c>
    </row>
    <row r="160" spans="2:20" ht="15.75" hidden="1" outlineLevel="1" x14ac:dyDescent="0.3">
      <c r="B160" s="302"/>
      <c r="C160" s="17"/>
      <c r="D160" s="17" t="s">
        <v>129</v>
      </c>
      <c r="E160" s="17"/>
      <c r="F160" s="44">
        <f>IF(NOT(ISBLANK('Referenz Pflasterwerk'!$I19)),'Referenz Pflasterwerk'!$I19,'Referenz Pflasterwerk'!$F19)*IF(NOT(ISBLANK('Eingabe EF'!$AA12)),'Eingabe EF'!$AA12,0)</f>
        <v>0</v>
      </c>
      <c r="G160" s="44">
        <f>IF(NOT(ISBLANK('Referenz Pflasterwerk'!$I19)),'Referenz Pflasterwerk'!$I19,'Referenz Pflasterwerk'!$F19)*IF(NOT(ISBLANK('Eingabe EF'!$AE12)),'Eingabe EF'!$AE12,0)</f>
        <v>0</v>
      </c>
      <c r="H160" s="44">
        <f>IF(NOT(ISBLANK('Referenz Pflasterwerk'!$I19)),'Referenz Pflasterwerk'!$I19,'Referenz Pflasterwerk'!$F19)*IF(NOT(ISBLANK('Eingabe EF'!$AI12)),'Eingabe EF'!$AI12,0)</f>
        <v>0</v>
      </c>
      <c r="I160" s="17"/>
      <c r="J160" s="38">
        <f>F160+G160</f>
        <v>0</v>
      </c>
      <c r="K160" s="38">
        <f>SUM(F160:H160)</f>
        <v>0</v>
      </c>
      <c r="L160" s="17" t="s">
        <v>199</v>
      </c>
      <c r="N160" s="302"/>
      <c r="O160" s="17" t="s">
        <v>129</v>
      </c>
      <c r="P160" s="17"/>
      <c r="Q160" s="20"/>
      <c r="R160" s="20"/>
      <c r="S160" s="42">
        <f>IF(NOT(ISBLANK('Referenz Pflasterwerk'!$I19)),'Referenz Pflasterwerk'!$I19,'Referenz Pflasterwerk'!$F19)/1000*IF(NOT(ISBLANK('Eingabe Preise'!$K16)),'Eingabe Preise'!$K16,0)</f>
        <v>0</v>
      </c>
      <c r="T160" s="20" t="s">
        <v>109</v>
      </c>
    </row>
    <row r="161" spans="2:21" hidden="1" outlineLevel="1" x14ac:dyDescent="0.2">
      <c r="B161" s="17"/>
      <c r="C161" s="17" t="s">
        <v>149</v>
      </c>
      <c r="D161" s="17"/>
      <c r="E161" s="17"/>
      <c r="F161" s="20"/>
      <c r="G161" s="20"/>
      <c r="H161" s="20"/>
      <c r="I161" s="17"/>
      <c r="J161" s="17"/>
      <c r="K161" s="17"/>
      <c r="L161" s="17"/>
      <c r="N161" s="17" t="s">
        <v>149</v>
      </c>
      <c r="O161" s="17"/>
      <c r="P161" s="17"/>
      <c r="Q161" s="20"/>
      <c r="R161" s="20"/>
      <c r="S161" s="20"/>
      <c r="T161" s="20"/>
    </row>
    <row r="162" spans="2:21" ht="15.75" hidden="1" outlineLevel="1" x14ac:dyDescent="0.3">
      <c r="B162" s="302"/>
      <c r="C162" s="17"/>
      <c r="D162" s="17" t="s">
        <v>32</v>
      </c>
      <c r="E162" s="17"/>
      <c r="F162" s="38">
        <f>F148*IF(NOT(ISBLANK('Eingabe EF'!$AA9)),'Eingabe EF'!$AA9,'Eingabe EF'!$Y9)</f>
        <v>6.5937599999999996</v>
      </c>
      <c r="G162" s="38">
        <f>F148*IF(NOT(ISBLANK('Eingabe EF'!$AE9)),'Eingabe EF'!$AE9,'Eingabe EF'!$AC9)</f>
        <v>0</v>
      </c>
      <c r="H162" s="38">
        <f>F148*IF(NOT(ISBLANK('Eingabe EF'!$AG9)),'Eingabe EF'!$AG9,'Eingabe EF'!$AIC9)</f>
        <v>1.1286</v>
      </c>
      <c r="I162" s="17"/>
      <c r="J162" s="38">
        <f t="shared" ref="J162:J163" si="21">F162+G162</f>
        <v>6.5937599999999996</v>
      </c>
      <c r="K162" s="38">
        <f t="shared" ref="K162:K173" si="22">SUM(F162:H162)</f>
        <v>7.7223600000000001</v>
      </c>
      <c r="L162" s="17" t="s">
        <v>199</v>
      </c>
      <c r="M162" s="43"/>
      <c r="N162" s="302"/>
      <c r="O162" s="17" t="s">
        <v>32</v>
      </c>
      <c r="P162" s="17"/>
      <c r="Q162" s="20"/>
      <c r="R162" s="20"/>
      <c r="S162" s="42">
        <f>F148/1000*IF(NOT(ISBLANK('Eingabe Preise'!$K10)),'Eingabe Preise'!$K10,'Eingabe Preise'!$I10)</f>
        <v>2196</v>
      </c>
      <c r="T162" s="20" t="s">
        <v>109</v>
      </c>
    </row>
    <row r="163" spans="2:21" ht="15.75" hidden="1" outlineLevel="1" x14ac:dyDescent="0.3">
      <c r="B163" s="302"/>
      <c r="C163" s="17"/>
      <c r="D163" s="17" t="s">
        <v>33</v>
      </c>
      <c r="E163" s="17"/>
      <c r="F163" s="38">
        <f>F149*IF(NOT(ISBLANK('Eingabe EF'!$AA10)),'Eingabe EF'!$AA10,'Eingabe EF'!$Y10)</f>
        <v>2.13408</v>
      </c>
      <c r="G163" s="38">
        <f>F149*IF(NOT(ISBLANK('Eingabe EF'!$AE10)),'Eingabe EF'!$AE10,'Eingabe EF'!$AC10)</f>
        <v>0</v>
      </c>
      <c r="H163" s="38">
        <f>F149*IF(NOT(ISBLANK('Eingabe EF'!$AG10)),'Eingabe EF'!$AG10,'Eingabe EF'!$AIC10)</f>
        <v>0.316608</v>
      </c>
      <c r="I163" s="17"/>
      <c r="J163" s="38">
        <f t="shared" si="21"/>
        <v>2.13408</v>
      </c>
      <c r="K163" s="38">
        <f t="shared" si="22"/>
        <v>2.450688</v>
      </c>
      <c r="L163" s="17" t="s">
        <v>199</v>
      </c>
      <c r="M163" s="43"/>
      <c r="N163" s="302"/>
      <c r="O163" s="17" t="s">
        <v>33</v>
      </c>
      <c r="P163" s="17"/>
      <c r="Q163" s="20"/>
      <c r="R163" s="20"/>
      <c r="S163" s="42">
        <f>F149/1000*IF(NOT(ISBLANK('Eingabe Preise'!$K11)),'Eingabe Preise'!$K11,'Eingabe Preise'!$I11)</f>
        <v>368</v>
      </c>
      <c r="T163" s="20" t="s">
        <v>109</v>
      </c>
    </row>
    <row r="164" spans="2:21" hidden="1" outlineLevel="1" x14ac:dyDescent="0.2">
      <c r="B164" s="17"/>
      <c r="C164" s="17" t="s">
        <v>150</v>
      </c>
      <c r="D164" s="17"/>
      <c r="E164" s="17"/>
      <c r="F164" s="20"/>
      <c r="G164" s="20"/>
      <c r="H164" s="20"/>
      <c r="I164" s="17"/>
      <c r="J164" s="17"/>
      <c r="K164" s="17"/>
      <c r="L164" s="17"/>
      <c r="N164" s="17" t="s">
        <v>150</v>
      </c>
      <c r="O164" s="17"/>
      <c r="P164" s="17"/>
      <c r="Q164" s="20"/>
      <c r="R164" s="20"/>
      <c r="S164" s="20"/>
      <c r="T164" s="20"/>
    </row>
    <row r="165" spans="2:21" ht="15.75" hidden="1" outlineLevel="1" x14ac:dyDescent="0.3">
      <c r="B165" s="302"/>
      <c r="C165" s="17"/>
      <c r="D165" s="17" t="s">
        <v>152</v>
      </c>
      <c r="E165" s="17"/>
      <c r="F165" s="38">
        <f>F150*IF(NOT(ISBLANK('Eingabe EF'!$AA11)),'Eingabe EF'!$AA11,'Eingabe EF'!$Y11)</f>
        <v>0</v>
      </c>
      <c r="G165" s="38">
        <f>F150*IF(NOT(ISBLANK('Eingabe EF'!$AE11)),'Eingabe EF'!$AE11,'Eingabe EF'!$AC11)</f>
        <v>158.19709964570364</v>
      </c>
      <c r="H165" s="38">
        <f>F150*IF(NOT(ISBLANK('Eingabe EF'!$AI11)),'Eingabe EF'!$AI11,'Eingabe EF'!$AG11)</f>
        <v>23.19119785382043</v>
      </c>
      <c r="I165" s="17"/>
      <c r="J165" s="38">
        <f t="shared" ref="J165:J173" si="23">F165+G165</f>
        <v>158.19709964570364</v>
      </c>
      <c r="K165" s="38">
        <f t="shared" si="22"/>
        <v>181.38829749952407</v>
      </c>
      <c r="L165" s="17" t="s">
        <v>199</v>
      </c>
      <c r="M165" s="43"/>
      <c r="N165" s="302"/>
      <c r="O165" s="17" t="s">
        <v>168</v>
      </c>
      <c r="P165" s="17"/>
      <c r="Q165" s="20"/>
      <c r="R165" s="20"/>
      <c r="S165" s="42">
        <f>F150/1000*IF(NOT(ISBLANK('Eingabe Preise'!$K12)),'Eingabe Preise'!$K12,'Eingabe Preise'!$I12)</f>
        <v>98040</v>
      </c>
      <c r="T165" s="20" t="s">
        <v>109</v>
      </c>
    </row>
    <row r="166" spans="2:21" ht="15.75" hidden="1" outlineLevel="1" x14ac:dyDescent="0.3">
      <c r="B166" s="302"/>
      <c r="C166" s="17"/>
      <c r="D166" s="17" t="s">
        <v>125</v>
      </c>
      <c r="E166" s="17"/>
      <c r="F166" s="38">
        <f>F151*IF(NOT(ISBLANK('Eingabe EF'!$AA13)),'Eingabe EF'!$AA13,'Eingabe EF'!$Y13)</f>
        <v>0</v>
      </c>
      <c r="G166" s="38">
        <f>F151*IF(NOT(ISBLANK('Eingabe EF'!$AE13)),'Eingabe EF'!$AE13,'Eingabe EF'!$AC13)</f>
        <v>0</v>
      </c>
      <c r="H166" s="38">
        <f>F151*IF(NOT(ISBLANK('Eingabe EF'!$AI13)),'Eingabe EF'!$AI13,'Eingabe EF'!$AG13)</f>
        <v>0</v>
      </c>
      <c r="I166" s="17"/>
      <c r="J166" s="38">
        <f t="shared" si="23"/>
        <v>0</v>
      </c>
      <c r="K166" s="38">
        <f t="shared" si="22"/>
        <v>0</v>
      </c>
      <c r="L166" s="17" t="s">
        <v>199</v>
      </c>
      <c r="M166" s="43"/>
      <c r="N166" s="302"/>
      <c r="O166" s="17" t="s">
        <v>125</v>
      </c>
      <c r="P166" s="17"/>
      <c r="Q166" s="20"/>
      <c r="R166" s="20"/>
      <c r="S166" s="42">
        <f>F151/1000*IF(NOT(ISBLANK('Eingabe Preise'!$K13)),'Eingabe Preise'!$K13,'Eingabe Preise'!$I13)</f>
        <v>0</v>
      </c>
      <c r="T166" s="20" t="s">
        <v>109</v>
      </c>
    </row>
    <row r="167" spans="2:21" ht="15.75" hidden="1" outlineLevel="1" x14ac:dyDescent="0.3">
      <c r="B167" s="302"/>
      <c r="C167" s="17"/>
      <c r="D167" s="17" t="s">
        <v>151</v>
      </c>
      <c r="E167" s="17"/>
      <c r="F167" s="38">
        <f>F152*IF(NOT(ISBLANK('Eingabe EF'!$AA14)),'Eingabe EF'!$AA14,0)</f>
        <v>0</v>
      </c>
      <c r="G167" s="38">
        <f>F152*IF(NOT(ISBLANK('Eingabe EF'!$AE14)),'Eingabe EF'!$AE14,0)</f>
        <v>0</v>
      </c>
      <c r="H167" s="38">
        <f>F152*IF(NOT(ISBLANK('Eingabe EF'!$AI14)),'Eingabe EF'!$AI14,0)</f>
        <v>0</v>
      </c>
      <c r="I167" s="17"/>
      <c r="J167" s="38">
        <f t="shared" si="23"/>
        <v>0</v>
      </c>
      <c r="K167" s="38">
        <f t="shared" si="22"/>
        <v>0</v>
      </c>
      <c r="L167" s="17" t="s">
        <v>199</v>
      </c>
      <c r="M167" s="43"/>
      <c r="N167" s="302"/>
      <c r="O167" s="17" t="s">
        <v>151</v>
      </c>
      <c r="P167" s="17"/>
      <c r="Q167" s="30"/>
      <c r="R167" s="17"/>
      <c r="S167" s="42">
        <f>F152/1000*IF(NOT(ISBLANK('Eingabe Preise'!$K17)),'Eingabe Preise'!$K17,0)</f>
        <v>0</v>
      </c>
      <c r="T167" s="20" t="s">
        <v>109</v>
      </c>
    </row>
    <row r="168" spans="2:21" hidden="1" outlineLevel="1" x14ac:dyDescent="0.2">
      <c r="B168" s="17"/>
      <c r="C168" s="17"/>
      <c r="D168" s="17"/>
      <c r="E168" s="17"/>
      <c r="F168" s="20"/>
      <c r="G168" s="20"/>
      <c r="H168" s="20"/>
      <c r="I168" s="17"/>
      <c r="J168" s="17"/>
      <c r="K168" s="17"/>
      <c r="L168" s="17"/>
      <c r="N168" s="17"/>
      <c r="O168" s="17"/>
      <c r="P168" s="17"/>
      <c r="Q168" s="30"/>
      <c r="R168" s="17"/>
      <c r="S168" s="17"/>
      <c r="T168" s="17"/>
    </row>
    <row r="169" spans="2:21" ht="15.75" hidden="1" outlineLevel="1" x14ac:dyDescent="0.3">
      <c r="B169" s="17"/>
      <c r="C169" s="17" t="s">
        <v>78</v>
      </c>
      <c r="D169" s="17" t="s">
        <v>35</v>
      </c>
      <c r="E169" s="17"/>
      <c r="F169" s="38">
        <f>IF(NOT(ISBLANK('Referenz Pflasterwerk'!$I28)),'Referenz Pflasterwerk'!$I28,'Referenz Pflasterwerk'!$F28)*IF(NOT(ISBLANK('Eingabe EF'!$AA15)),'Eingabe EF'!$AA15,'Eingabe EF'!$Y15)</f>
        <v>85.058737919999984</v>
      </c>
      <c r="G169" s="38">
        <f>IF(NOT(ISBLANK('Referenz Pflasterwerk'!$I28)),'Referenz Pflasterwerk'!$I28,'Referenz Pflasterwerk'!$F28)*IF(NOT(ISBLANK('Eingabe EF'!$AE15)),'Eingabe EF'!$AE15,'Eingabe EF'!$AC15)</f>
        <v>0</v>
      </c>
      <c r="H169" s="38">
        <f>IF(NOT(ISBLANK('Referenz Pflasterwerk'!$I28)),'Referenz Pflasterwerk'!$I28,'Referenz Pflasterwerk'!$F28)*IF(NOT(ISBLANK('Eingabe EF'!$AI15)),'Eingabe EF'!$AI15,'Eingabe EF'!$AG15)</f>
        <v>15.027966720000002</v>
      </c>
      <c r="I169" s="17"/>
      <c r="J169" s="38">
        <f t="shared" si="23"/>
        <v>85.058737919999984</v>
      </c>
      <c r="K169" s="38">
        <f t="shared" si="22"/>
        <v>100.08670463999999</v>
      </c>
      <c r="L169" s="17" t="s">
        <v>199</v>
      </c>
      <c r="M169" s="43"/>
      <c r="N169" s="17"/>
      <c r="O169" s="17" t="s">
        <v>35</v>
      </c>
      <c r="P169" s="17" t="s">
        <v>78</v>
      </c>
      <c r="Q169" s="30"/>
      <c r="R169" s="17"/>
      <c r="S169" s="42">
        <f>IF(NOT(ISBLANK('Referenz Pflasterwerk'!$I28)),'Referenz Pflasterwerk'!$I28,'Referenz Pflasterwerk'!$F28)*IF(NOT(ISBLANK('Eingabe Preise'!$K14)),'Eingabe Preise'!$K14,'Eingabe Preise'!$I14)</f>
        <v>35968</v>
      </c>
      <c r="T169" s="20" t="s">
        <v>109</v>
      </c>
    </row>
    <row r="170" spans="2:21" ht="15.75" hidden="1" outlineLevel="1" x14ac:dyDescent="0.3">
      <c r="B170" s="17"/>
      <c r="C170" s="17" t="s">
        <v>77</v>
      </c>
      <c r="D170" s="17" t="s">
        <v>35</v>
      </c>
      <c r="E170" s="17"/>
      <c r="F170" s="38">
        <f>IF(NOT(ISBLANK('Referenz Pflasterwerk'!$I29)),'Referenz Pflasterwerk'!$I29,'Referenz Pflasterwerk'!$F29)*IF(NOT(ISBLANK('Eingabe EF'!$AA15)),'Eingabe EF'!$AA15,'Eingabe EF'!$Y15)</f>
        <v>10.632342239999998</v>
      </c>
      <c r="G170" s="38">
        <f>IF(NOT(ISBLANK('Referenz Pflasterwerk'!$I29)),'Referenz Pflasterwerk'!$I29,'Referenz Pflasterwerk'!$F29)*IF(NOT(ISBLANK('Eingabe EF'!$AE15)),'Eingabe EF'!$AE15,'Eingabe EF'!$AC15)</f>
        <v>0</v>
      </c>
      <c r="H170" s="38">
        <f>IF(NOT(ISBLANK('Referenz Pflasterwerk'!$I29)),'Referenz Pflasterwerk'!$I29,'Referenz Pflasterwerk'!$F29)*IF(NOT(ISBLANK('Eingabe EF'!$AI15)),'Eingabe EF'!$AI15,'Eingabe EF'!$AG15)</f>
        <v>1.8784958400000002</v>
      </c>
      <c r="I170" s="17"/>
      <c r="J170" s="38">
        <f t="shared" si="23"/>
        <v>10.632342239999998</v>
      </c>
      <c r="K170" s="38">
        <f t="shared" si="22"/>
        <v>12.510838079999999</v>
      </c>
      <c r="L170" s="17" t="s">
        <v>199</v>
      </c>
      <c r="M170" s="43"/>
      <c r="N170" s="17"/>
      <c r="O170" s="17" t="s">
        <v>35</v>
      </c>
      <c r="P170" s="17" t="s">
        <v>77</v>
      </c>
      <c r="Q170" s="30"/>
      <c r="R170" s="17"/>
      <c r="S170" s="42">
        <f>IF(NOT(ISBLANK('Referenz Pflasterwerk'!$I29)),'Referenz Pflasterwerk'!$I29,'Referenz Pflasterwerk'!$F29)*IF(NOT(ISBLANK('Eingabe Preise'!$K14)),'Eingabe Preise'!$K14,'Eingabe Preise'!$I14)</f>
        <v>4496</v>
      </c>
      <c r="T170" s="20" t="s">
        <v>109</v>
      </c>
    </row>
    <row r="171" spans="2:21" s="72" customFormat="1" ht="14.25" hidden="1" outlineLevel="1" x14ac:dyDescent="0.25">
      <c r="B171" s="69"/>
      <c r="C171" s="69" t="s">
        <v>190</v>
      </c>
      <c r="D171" s="69"/>
      <c r="E171" s="69"/>
      <c r="F171" s="71">
        <f>F172+F173</f>
        <v>0</v>
      </c>
      <c r="G171" s="71">
        <f t="shared" ref="G171:H171" si="24">G172+G173</f>
        <v>0</v>
      </c>
      <c r="H171" s="71">
        <f t="shared" si="24"/>
        <v>578.62626120000004</v>
      </c>
      <c r="I171" s="69"/>
      <c r="J171" s="71">
        <f t="shared" si="23"/>
        <v>0</v>
      </c>
      <c r="K171" s="71">
        <f t="shared" si="22"/>
        <v>578.62626120000004</v>
      </c>
      <c r="L171" s="76" t="s">
        <v>198</v>
      </c>
      <c r="N171" s="21"/>
      <c r="O171" s="21"/>
      <c r="P171" s="21"/>
      <c r="Q171" s="73"/>
      <c r="R171" s="21"/>
      <c r="S171" s="21"/>
      <c r="T171" s="21"/>
      <c r="U171" s="6"/>
    </row>
    <row r="172" spans="2:21" ht="15.75" hidden="1" outlineLevel="1" x14ac:dyDescent="0.3">
      <c r="B172" s="17"/>
      <c r="C172" s="17"/>
      <c r="D172" s="17" t="s">
        <v>46</v>
      </c>
      <c r="E172" s="17"/>
      <c r="F172" s="38">
        <f>IF(NOT(ISBLANK('Referenz Pflasterwerk'!$I32)),'Referenz Pflasterwerk'!$I32,'Referenz Pflasterwerk'!$F32)*IF(NOT(ISBLANK('Eingabe EF'!$AA17)),'Eingabe EF'!$AA17,'Eingabe EF'!$Y17)</f>
        <v>0</v>
      </c>
      <c r="G172" s="38">
        <f>IF(NOT(ISBLANK('Referenz Pflasterwerk'!$I32)),'Referenz Pflasterwerk'!$I32,'Referenz Pflasterwerk'!$F32)*IF(NOT(ISBLANK('Eingabe EF'!$AE17)),'Eingabe EF'!$AE17,'Eingabe EF'!$AC17)</f>
        <v>0</v>
      </c>
      <c r="H172" s="38">
        <f>IF(NOT(ISBLANK('Referenz Pflasterwerk'!$I32)),'Referenz Pflasterwerk'!$I32,'Referenz Pflasterwerk'!$F32)*IF(NOT(ISBLANK('Eingabe EF'!$AI17)),'Eingabe EF'!$AI17,'Eingabe EF'!$AG17)</f>
        <v>250.21676159999998</v>
      </c>
      <c r="I172" s="17"/>
      <c r="J172" s="38">
        <f t="shared" si="23"/>
        <v>0</v>
      </c>
      <c r="K172" s="38">
        <f t="shared" si="22"/>
        <v>250.21676159999998</v>
      </c>
      <c r="L172" s="17" t="s">
        <v>199</v>
      </c>
      <c r="M172" s="43"/>
      <c r="N172" s="17"/>
      <c r="O172" s="17"/>
      <c r="P172" s="17"/>
      <c r="Q172" s="30"/>
      <c r="R172" s="17"/>
      <c r="S172" s="17"/>
      <c r="T172" s="17"/>
    </row>
    <row r="173" spans="2:21" ht="15.75" hidden="1" outlineLevel="1" x14ac:dyDescent="0.3">
      <c r="B173" s="17"/>
      <c r="C173" s="17"/>
      <c r="D173" s="17" t="s">
        <v>47</v>
      </c>
      <c r="E173" s="17"/>
      <c r="F173" s="38">
        <f>IF(NOT(ISBLANK('Referenz Pflasterwerk'!$I33)),'Referenz Pflasterwerk'!$I33,'Referenz Pflasterwerk'!$F33)*IF(NOT(ISBLANK('Eingabe EF'!$AA18)),'Eingabe EF'!$AA18,'Eingabe EF'!$Y18)</f>
        <v>0</v>
      </c>
      <c r="G173" s="38">
        <f>IF(NOT(ISBLANK('Referenz Pflasterwerk'!$I33)),'Referenz Pflasterwerk'!$I33,'Referenz Pflasterwerk'!$F33)*IF(NOT(ISBLANK('Eingabe EF'!$AE18)),'Eingabe EF'!$AE18,'Eingabe EF'!$AC18)</f>
        <v>0</v>
      </c>
      <c r="H173" s="38">
        <f>IF(NOT(ISBLANK('Referenz Pflasterwerk'!$I33)),'Referenz Pflasterwerk'!$I33,'Referenz Pflasterwerk'!$F33)*IF(NOT(ISBLANK('Eingabe EF'!$AI18)),'Eingabe EF'!$AI18,'Eingabe EF'!$AG18)</f>
        <v>328.4094996</v>
      </c>
      <c r="I173" s="17"/>
      <c r="J173" s="38">
        <f t="shared" si="23"/>
        <v>0</v>
      </c>
      <c r="K173" s="38">
        <f t="shared" si="22"/>
        <v>328.4094996</v>
      </c>
      <c r="L173" s="17" t="s">
        <v>199</v>
      </c>
      <c r="M173" s="43"/>
      <c r="N173" s="17"/>
      <c r="O173" s="17" t="s">
        <v>31</v>
      </c>
      <c r="P173" s="17"/>
      <c r="Q173" s="30"/>
      <c r="R173" s="17"/>
      <c r="S173" s="42">
        <f>IF(NOT(ISBLANK($G$24)),$G$24,$E$24)/IF(NOT(ISBLANK($G$29)),$G$29,$E$29)+IF(NOT(ISBLANK($G$24)),$G$24,$E$24)*(IF(NOT(ISBLANK($G$30)),$G$30,$E$30)/100)</f>
        <v>1800</v>
      </c>
      <c r="T173" s="20" t="s">
        <v>109</v>
      </c>
    </row>
    <row r="174" spans="2:21" hidden="1" outlineLevel="1" x14ac:dyDescent="0.2">
      <c r="B174" s="17"/>
      <c r="C174" s="17"/>
      <c r="D174" s="17"/>
      <c r="E174" s="17"/>
      <c r="F174" s="20"/>
      <c r="G174" s="20"/>
      <c r="H174" s="20"/>
      <c r="I174" s="17"/>
      <c r="J174" s="20"/>
      <c r="K174" s="20"/>
      <c r="L174" s="17"/>
      <c r="N174" s="17"/>
      <c r="O174" s="45" t="s">
        <v>155</v>
      </c>
      <c r="P174" s="17"/>
      <c r="Q174" s="30"/>
      <c r="R174" s="17"/>
      <c r="S174" s="42">
        <f>IF(NOT(ISBLANK($G$25)),$G$25,$E$25)</f>
        <v>0</v>
      </c>
      <c r="T174" s="20" t="s">
        <v>109</v>
      </c>
    </row>
    <row r="175" spans="2:21" ht="14.25" hidden="1" outlineLevel="1" x14ac:dyDescent="0.25">
      <c r="B175" s="69"/>
      <c r="C175" s="69" t="s">
        <v>69</v>
      </c>
      <c r="D175" s="70"/>
      <c r="E175" s="70"/>
      <c r="F175" s="71">
        <f>SUM(F176:F179)</f>
        <v>0</v>
      </c>
      <c r="G175" s="71">
        <f>SUM(G176:G179)</f>
        <v>0</v>
      </c>
      <c r="H175" s="71">
        <f>SUM(H176:H179)</f>
        <v>7683.24</v>
      </c>
      <c r="I175" s="70"/>
      <c r="J175" s="71">
        <f t="shared" ref="J175:J179" si="25">F175+G175</f>
        <v>0</v>
      </c>
      <c r="K175" s="71">
        <f t="shared" ref="K175:K178" si="26">SUM(F175:H175)</f>
        <v>7683.24</v>
      </c>
      <c r="L175" s="76" t="s">
        <v>198</v>
      </c>
      <c r="N175" s="17"/>
      <c r="O175" s="45" t="s">
        <v>162</v>
      </c>
      <c r="P175" s="17"/>
      <c r="Q175" s="30"/>
      <c r="R175" s="17"/>
      <c r="S175" s="42">
        <f>IF(NOT(ISBLANK($G$26)),$G$26,$E$26)/IF(NOT(ISBLANK($G$29)),$G$29,$E$29)+IF(NOT(ISBLANK($G$26)),$G$26,$E$26)*(IF(NOT(ISBLANK($G$30)),$G$30,$E$30)/100)</f>
        <v>0</v>
      </c>
      <c r="T175" s="20" t="s">
        <v>109</v>
      </c>
    </row>
    <row r="176" spans="2:21" ht="15.75" hidden="1" outlineLevel="1" x14ac:dyDescent="0.3">
      <c r="B176" s="17"/>
      <c r="C176" s="17"/>
      <c r="D176" s="17" t="s">
        <v>48</v>
      </c>
      <c r="E176" s="17"/>
      <c r="F176" s="38">
        <f>IF(NOT(ISBLANK('Referenz Pflasterwerk'!$I36)),'Referenz Pflasterwerk'!$I36,'Referenz Pflasterwerk'!$F36)*IF(NOT(ISBLANK('Eingabe EF'!$AA21)),'Eingabe EF'!$AA21,'Eingabe EF'!$Y21)*IF(NOT(ISBLANK('Referenz Pflasterwerk'!$I$12)),'Referenz Pflasterwerk'!$I$12,'Referenz Pflasterwerk'!$F$12)</f>
        <v>0</v>
      </c>
      <c r="G176" s="38">
        <f>IF(NOT(ISBLANK('Referenz Pflasterwerk'!$I36)),'Referenz Pflasterwerk'!$I36,'Referenz Pflasterwerk'!$F36)*IF(NOT(ISBLANK('Eingabe EF'!$AE21)),'Eingabe EF'!$AE21,'Eingabe EF'!$AC21)*IF(NOT(ISBLANK('Referenz Pflasterwerk'!$I$12)),'Referenz Pflasterwerk'!$I$12,'Referenz Pflasterwerk'!$F$12)</f>
        <v>0</v>
      </c>
      <c r="H176" s="38">
        <f>IF(NOT(ISBLANK('Referenz Pflasterwerk'!$I36)),'Referenz Pflasterwerk'!$I36,'Referenz Pflasterwerk'!$F36)*IF(NOT(ISBLANK('Eingabe EF'!$AI21)),'Eingabe EF'!$AI21,'Eingabe EF'!$AG21)*IF(NOT(ISBLANK('Referenz Pflasterwerk'!$I$12)),'Referenz Pflasterwerk'!$I$12,'Referenz Pflasterwerk'!$F$12)</f>
        <v>2144.625</v>
      </c>
      <c r="I176" s="17"/>
      <c r="J176" s="38">
        <f t="shared" si="25"/>
        <v>0</v>
      </c>
      <c r="K176" s="38">
        <f t="shared" si="26"/>
        <v>2144.625</v>
      </c>
      <c r="L176" s="17" t="s">
        <v>199</v>
      </c>
      <c r="M176" s="43"/>
      <c r="N176" s="17"/>
      <c r="O176" s="17"/>
      <c r="P176" s="17"/>
      <c r="Q176" s="17"/>
      <c r="R176" s="17"/>
      <c r="S176" s="17"/>
      <c r="T176" s="17"/>
    </row>
    <row r="177" spans="2:20" ht="15.75" hidden="1" outlineLevel="1" x14ac:dyDescent="0.3">
      <c r="B177" s="17"/>
      <c r="C177" s="17"/>
      <c r="D177" s="17" t="s">
        <v>50</v>
      </c>
      <c r="E177" s="17"/>
      <c r="F177" s="38">
        <f>IF(NOT(ISBLANK('Referenz Pflasterwerk'!$I37)),'Referenz Pflasterwerk'!$I37,'Referenz Pflasterwerk'!$F37)*IF(NOT(ISBLANK('Eingabe EF'!$AA22)),'Eingabe EF'!$AA22,'Eingabe EF'!$Y22)*IF(NOT(ISBLANK('Referenz Pflasterwerk'!$I$12)),'Referenz Pflasterwerk'!$I$12,'Referenz Pflasterwerk'!$F$12)</f>
        <v>0</v>
      </c>
      <c r="G177" s="38">
        <f>IF(NOT(ISBLANK('Referenz Pflasterwerk'!$I37)),'Referenz Pflasterwerk'!$I37,'Referenz Pflasterwerk'!$F37)*IF(NOT(ISBLANK('Eingabe EF'!$AE22)),'Eingabe EF'!$AE22,'Eingabe EF'!$AC22)*IF(NOT(ISBLANK('Referenz Pflasterwerk'!$I$12)),'Referenz Pflasterwerk'!$I$12,'Referenz Pflasterwerk'!$F$12)</f>
        <v>0</v>
      </c>
      <c r="H177" s="38">
        <f>IF(NOT(ISBLANK('Referenz Pflasterwerk'!$I37)),'Referenz Pflasterwerk'!$I37,'Referenz Pflasterwerk'!$F37)*IF(NOT(ISBLANK('Eingabe EF'!$AI22)),'Eingabe EF'!$AI22,'Eingabe EF'!$AG22)*IF(NOT(ISBLANK('Referenz Pflasterwerk'!$I$12)),'Referenz Pflasterwerk'!$I$12,'Referenz Pflasterwerk'!$F$12)</f>
        <v>4993.59</v>
      </c>
      <c r="I177" s="17"/>
      <c r="J177" s="38">
        <f t="shared" si="25"/>
        <v>0</v>
      </c>
      <c r="K177" s="38">
        <f t="shared" si="26"/>
        <v>4993.59</v>
      </c>
      <c r="L177" s="17" t="s">
        <v>199</v>
      </c>
      <c r="M177" s="43"/>
      <c r="N177" s="17"/>
      <c r="O177" s="17"/>
      <c r="P177" s="17"/>
      <c r="Q177" s="17"/>
      <c r="R177" s="17"/>
      <c r="S177" s="17"/>
      <c r="T177" s="17"/>
    </row>
    <row r="178" spans="2:20" ht="15.75" hidden="1" outlineLevel="1" x14ac:dyDescent="0.3">
      <c r="B178" s="17"/>
      <c r="C178" s="17"/>
      <c r="D178" s="17" t="s">
        <v>51</v>
      </c>
      <c r="E178" s="17"/>
      <c r="F178" s="38">
        <f>IF(NOT(ISBLANK('Referenz Pflasterwerk'!$I38)),'Referenz Pflasterwerk'!$I38,'Referenz Pflasterwerk'!$F38)*IF(NOT(ISBLANK('Eingabe EF'!$AA23)),'Eingabe EF'!$AA23,'Eingabe EF'!$Y23)*IF(NOT(ISBLANK('Referenz Pflasterwerk'!$I$12)),'Referenz Pflasterwerk'!$I$12,'Referenz Pflasterwerk'!$F$12)</f>
        <v>0</v>
      </c>
      <c r="G178" s="38">
        <f>IF(NOT(ISBLANK('Referenz Pflasterwerk'!$I38)),'Referenz Pflasterwerk'!$I38,'Referenz Pflasterwerk'!$F38)*IF(NOT(ISBLANK('Eingabe EF'!$AE23)),'Eingabe EF'!$AE23,'Eingabe EF'!$AC23)*IF(NOT(ISBLANK('Referenz Pflasterwerk'!$I$12)),'Referenz Pflasterwerk'!$I$12,'Referenz Pflasterwerk'!$F$12)</f>
        <v>0</v>
      </c>
      <c r="H178" s="38">
        <f>IF(NOT(ISBLANK('Referenz Pflasterwerk'!$I38)),'Referenz Pflasterwerk'!$I38,'Referenz Pflasterwerk'!$F38)*IF(NOT(ISBLANK('Eingabe EF'!$AI23)),'Eingabe EF'!$AI23,'Eingabe EF'!$AG23)*IF(NOT(ISBLANK('Referenz Pflasterwerk'!$I$12)),'Referenz Pflasterwerk'!$I$12,'Referenz Pflasterwerk'!$F$12)</f>
        <v>545.02499999999998</v>
      </c>
      <c r="I178" s="17"/>
      <c r="J178" s="38">
        <f t="shared" si="25"/>
        <v>0</v>
      </c>
      <c r="K178" s="38">
        <f t="shared" si="26"/>
        <v>545.02499999999998</v>
      </c>
      <c r="L178" s="17" t="s">
        <v>199</v>
      </c>
      <c r="M178" s="43"/>
      <c r="N178" s="17"/>
      <c r="O178" s="17" t="s">
        <v>201</v>
      </c>
      <c r="P178" s="17"/>
      <c r="Q178" s="30"/>
      <c r="R178" s="17"/>
      <c r="S178" s="42">
        <f>F214*IF(NOT(ISBLANK('Eingabe Preise'!$K21)),'Eingabe Preise'!$K21,'Eingabe Preise'!$I21)</f>
        <v>4797.0396071999994</v>
      </c>
      <c r="T178" s="20" t="s">
        <v>109</v>
      </c>
    </row>
    <row r="179" spans="2:20" ht="15.75" hidden="1" outlineLevel="1" x14ac:dyDescent="0.3">
      <c r="B179" s="17"/>
      <c r="C179" s="17"/>
      <c r="D179" s="17" t="s">
        <v>163</v>
      </c>
      <c r="E179" s="17"/>
      <c r="F179" s="38">
        <f>IF(NOT(ISBLANK('Referenz Pflasterwerk'!$I39)),'Referenz Pflasterwerk'!$I39,'Referenz Pflasterwerk'!$F39)*IF(NOT(ISBLANK('Eingabe EF'!$AA24)),'Eingabe EF'!$AA24,0)*IF(NOT(ISBLANK('Referenz Pflasterwerk'!$I$12)),'Referenz Pflasterwerk'!$I$12,'Referenz Pflasterwerk'!$F$12)</f>
        <v>0</v>
      </c>
      <c r="G179" s="38">
        <f>IF(NOT(ISBLANK('Referenz Pflasterwerk'!$I39)),'Referenz Pflasterwerk'!$I39,'Referenz Pflasterwerk'!$F39)*IF(NOT(ISBLANK('Eingabe EF'!$AE24)),'Eingabe EF'!$AE24,0)*IF(NOT(ISBLANK('Referenz Pflasterwerk'!$I$12)),'Referenz Pflasterwerk'!$I$12,'Referenz Pflasterwerk'!$F$12)</f>
        <v>0</v>
      </c>
      <c r="H179" s="38">
        <f>IF(NOT(ISBLANK('Referenz Pflasterwerk'!$I39)),'Referenz Pflasterwerk'!$I39,'Referenz Pflasterwerk'!$F39)*IF(NOT(ISBLANK('Eingabe EF'!$AI24)),'Eingabe EF'!$AI24,0)*IF(NOT(ISBLANK('Referenz Pflasterwerk'!$I$12)),'Referenz Pflasterwerk'!$I$12,'Referenz Pflasterwerk'!$F$12)</f>
        <v>0</v>
      </c>
      <c r="I179" s="17"/>
      <c r="J179" s="38">
        <f t="shared" si="25"/>
        <v>0</v>
      </c>
      <c r="K179" s="38">
        <f t="shared" ref="K179" si="27">SUM(F179:H179)</f>
        <v>0</v>
      </c>
      <c r="L179" s="17" t="s">
        <v>199</v>
      </c>
      <c r="M179" s="43"/>
      <c r="N179" s="17"/>
      <c r="O179" s="17" t="s">
        <v>202</v>
      </c>
      <c r="P179" s="17"/>
      <c r="Q179" s="30"/>
      <c r="R179" s="17"/>
      <c r="S179" s="42">
        <f>G214*IF(NOT(ISBLANK('Eingabe Preise'!$K22)),'Eingabe Preise'!$K22,'Eingabe Preise'!$I22)</f>
        <v>8992.2561903873648</v>
      </c>
      <c r="T179" s="20" t="s">
        <v>109</v>
      </c>
    </row>
    <row r="180" spans="2:20" ht="15.75" hidden="1" outlineLevel="1" x14ac:dyDescent="0.3">
      <c r="B180" s="17"/>
      <c r="C180" s="17"/>
      <c r="D180" s="17"/>
      <c r="E180" s="17"/>
      <c r="F180" s="20"/>
      <c r="G180" s="20"/>
      <c r="H180" s="20"/>
      <c r="I180" s="17"/>
      <c r="J180" s="17"/>
      <c r="K180" s="20"/>
      <c r="L180" s="20"/>
      <c r="M180" s="43"/>
      <c r="N180" s="17"/>
      <c r="O180" s="17" t="s">
        <v>203</v>
      </c>
      <c r="P180" s="17"/>
      <c r="Q180" s="30"/>
      <c r="R180" s="17"/>
      <c r="S180" s="42">
        <f>H214*IF(NOT(ISBLANK('Eingabe Preise'!$K23)),'Eingabe Preise'!$K23,'Eingabe Preise'!$I23)</f>
        <v>472856.2697296961</v>
      </c>
      <c r="T180" s="20" t="s">
        <v>109</v>
      </c>
    </row>
    <row r="181" spans="2:20" ht="14.25" hidden="1" outlineLevel="1" x14ac:dyDescent="0.25">
      <c r="B181" s="69"/>
      <c r="C181" s="69" t="s">
        <v>178</v>
      </c>
      <c r="D181" s="70"/>
      <c r="E181" s="70"/>
      <c r="F181" s="71">
        <f>SUM(F182:F184)</f>
        <v>0</v>
      </c>
      <c r="G181" s="71">
        <f>SUM(G182:G184)</f>
        <v>0</v>
      </c>
      <c r="H181" s="71">
        <f>SUM(H182:H184)</f>
        <v>387.03000000000003</v>
      </c>
      <c r="I181" s="70"/>
      <c r="J181" s="71">
        <f t="shared" ref="J181" si="28">F181+G181</f>
        <v>0</v>
      </c>
      <c r="K181" s="71">
        <f t="shared" ref="K181" si="29">SUM(F181:H181)</f>
        <v>387.03000000000003</v>
      </c>
      <c r="L181" s="76" t="s">
        <v>198</v>
      </c>
      <c r="M181" s="43"/>
      <c r="N181" s="17"/>
      <c r="O181" s="17"/>
      <c r="P181" s="17"/>
      <c r="Q181" s="30"/>
      <c r="R181" s="17"/>
      <c r="S181" s="66"/>
      <c r="T181" s="17"/>
    </row>
    <row r="182" spans="2:20" ht="15.75" hidden="1" outlineLevel="1" x14ac:dyDescent="0.3">
      <c r="B182" s="17"/>
      <c r="C182" s="17"/>
      <c r="D182" s="17" t="s">
        <v>179</v>
      </c>
      <c r="E182" s="17"/>
      <c r="F182" s="38">
        <f>IF(NOT(ISBLANK('Referenz Pflasterwerk'!$I42)),'Referenz Pflasterwerk'!$I42,'Referenz Pflasterwerk'!$F42)*IF(NOT(ISBLANK('Eingabe EF'!$AA27)),'Eingabe EF'!$AA27,'Eingabe EF'!$Y27)*IF(NOT(ISBLANK('Referenz Pflasterwerk'!$I$12)),'Referenz Pflasterwerk'!$I$12,'Referenz Pflasterwerk'!$F$12)</f>
        <v>0</v>
      </c>
      <c r="G182" s="38">
        <f>IF(NOT(ISBLANK('Referenz Pflasterwerk'!$I42)),'Referenz Pflasterwerk'!$I42,'Referenz Pflasterwerk'!$F42)*IF(NOT(ISBLANK('Eingabe EF'!$AE27)),'Eingabe EF'!$AE27,'Eingabe EF'!$AC27)*IF(NOT(ISBLANK('Referenz Pflasterwerk'!$I$12)),'Referenz Pflasterwerk'!$I$12,'Referenz Pflasterwerk'!$F$12)</f>
        <v>0</v>
      </c>
      <c r="H182" s="38">
        <f>IF(NOT(ISBLANK('Referenz Pflasterwerk'!$I42)),'Referenz Pflasterwerk'!$I42,'Referenz Pflasterwerk'!$F42)*IF(NOT(ISBLANK('Eingabe EF'!$AI27)),'Eingabe EF'!$AI27,'Eingabe EF'!$AG27)*IF(NOT(ISBLANK('Referenz Pflasterwerk'!$I$12)),'Referenz Pflasterwerk'!$I$12,'Referenz Pflasterwerk'!$F$12)</f>
        <v>387.03000000000003</v>
      </c>
      <c r="I182" s="17"/>
      <c r="J182" s="38">
        <f>F182+G182</f>
        <v>0</v>
      </c>
      <c r="K182" s="38">
        <f>SUM(F182:H182)</f>
        <v>387.03000000000003</v>
      </c>
      <c r="L182" s="17" t="s">
        <v>199</v>
      </c>
      <c r="M182" s="43"/>
      <c r="N182" s="17"/>
      <c r="O182" s="17"/>
      <c r="P182" s="17"/>
      <c r="Q182" s="30"/>
      <c r="R182" s="17"/>
      <c r="S182" s="17"/>
      <c r="T182" s="17"/>
    </row>
    <row r="183" spans="2:20" ht="15.75" hidden="1" outlineLevel="1" x14ac:dyDescent="0.3">
      <c r="B183" s="17"/>
      <c r="C183" s="17"/>
      <c r="D183" s="17" t="s">
        <v>180</v>
      </c>
      <c r="E183" s="17"/>
      <c r="F183" s="38">
        <f>IF(NOT(ISBLANK('Referenz Pflasterwerk'!$I43)),'Referenz Pflasterwerk'!$I43,'Referenz Pflasterwerk'!$F43)*IF(NOT(ISBLANK('Eingabe EF'!$AA28)),'Eingabe EF'!$AA28,0)*IF(NOT(ISBLANK('Referenz Pflasterwerk'!$I$12)),'Referenz Pflasterwerk'!$I$12,'Referenz Pflasterwerk'!$F$12)</f>
        <v>0</v>
      </c>
      <c r="G183" s="38">
        <f>IF(NOT(ISBLANK('Referenz Pflasterwerk'!$I43)),'Referenz Pflasterwerk'!$I43,'Referenz Pflasterwerk'!$F43)*IF(NOT(ISBLANK('Eingabe EF'!$AE28)),'Eingabe EF'!$AE28,0)*IF(NOT(ISBLANK('Referenz Pflasterwerk'!$I$12)),'Referenz Pflasterwerk'!$I$12,'Referenz Pflasterwerk'!$F$12)</f>
        <v>0</v>
      </c>
      <c r="H183" s="38">
        <f>IF(NOT(ISBLANK('Referenz Pflasterwerk'!$I43)),'Referenz Pflasterwerk'!$I43,'Referenz Pflasterwerk'!$F43)*IF(NOT(ISBLANK('Eingabe EF'!$AI28)),'Eingabe EF'!$AI28,0)*IF(NOT(ISBLANK('Referenz Pflasterwerk'!$I$12)),'Referenz Pflasterwerk'!$I$12,'Referenz Pflasterwerk'!$F$12)</f>
        <v>0</v>
      </c>
      <c r="I183" s="17"/>
      <c r="J183" s="38">
        <f t="shared" ref="J183:J184" si="30">F183+G183</f>
        <v>0</v>
      </c>
      <c r="K183" s="38">
        <f t="shared" ref="K183:K184" si="31">SUM(F183:H183)</f>
        <v>0</v>
      </c>
      <c r="L183" s="17" t="s">
        <v>199</v>
      </c>
      <c r="M183" s="43"/>
      <c r="N183" s="17"/>
      <c r="O183" s="17"/>
      <c r="P183" s="17"/>
      <c r="Q183" s="30"/>
      <c r="R183" s="17"/>
      <c r="S183" s="66"/>
      <c r="T183" s="17"/>
    </row>
    <row r="184" spans="2:20" ht="15.75" hidden="1" outlineLevel="1" x14ac:dyDescent="0.3">
      <c r="B184" s="17"/>
      <c r="C184" s="17"/>
      <c r="D184" s="17" t="s">
        <v>181</v>
      </c>
      <c r="E184" s="17"/>
      <c r="F184" s="38">
        <f>IF(NOT(ISBLANK('Referenz Pflasterwerk'!$I44)),'Referenz Pflasterwerk'!$I44,'Referenz Pflasterwerk'!$F44)*IF(NOT(ISBLANK('Eingabe EF'!$AA29)),'Eingabe EF'!$AA29,0)*IF(NOT(ISBLANK('Referenz Pflasterwerk'!$I$12)),'Referenz Pflasterwerk'!$I$12,'Referenz Pflasterwerk'!$F$12)</f>
        <v>0</v>
      </c>
      <c r="G184" s="38">
        <f>IF(NOT(ISBLANK('Referenz Pflasterwerk'!$I44)),'Referenz Pflasterwerk'!$I44,'Referenz Pflasterwerk'!$F44)*IF(NOT(ISBLANK('Eingabe EF'!$AE29)),'Eingabe EF'!$AE29,0)*IF(NOT(ISBLANK('Referenz Pflasterwerk'!$I$12)),'Referenz Pflasterwerk'!$I$12,'Referenz Pflasterwerk'!$F$12)</f>
        <v>0</v>
      </c>
      <c r="H184" s="38">
        <f>IF(NOT(ISBLANK('Referenz Pflasterwerk'!$I44)),'Referenz Pflasterwerk'!$I44,'Referenz Pflasterwerk'!$F44)*IF(NOT(ISBLANK('Eingabe EF'!$AI29)),'Eingabe EF'!$AI29,0)*IF(NOT(ISBLANK('Referenz Pflasterwerk'!$I$12)),'Referenz Pflasterwerk'!$I$12,'Referenz Pflasterwerk'!$F$12)</f>
        <v>0</v>
      </c>
      <c r="I184" s="17"/>
      <c r="J184" s="38">
        <f t="shared" si="30"/>
        <v>0</v>
      </c>
      <c r="K184" s="38">
        <f t="shared" si="31"/>
        <v>0</v>
      </c>
      <c r="L184" s="17" t="s">
        <v>199</v>
      </c>
      <c r="M184" s="43"/>
      <c r="N184" s="43"/>
      <c r="O184" s="43"/>
      <c r="P184" s="43"/>
      <c r="Q184" s="43"/>
      <c r="R184" s="43"/>
      <c r="S184" s="43"/>
    </row>
    <row r="185" spans="2:20" hidden="1" outlineLevel="1" x14ac:dyDescent="0.2">
      <c r="B185" s="17"/>
      <c r="C185" s="17"/>
      <c r="D185" s="17"/>
      <c r="E185" s="17"/>
      <c r="F185" s="20"/>
      <c r="G185" s="20"/>
      <c r="H185" s="20"/>
      <c r="I185" s="17"/>
      <c r="J185" s="17"/>
      <c r="K185" s="20"/>
      <c r="L185" s="20"/>
      <c r="M185" s="43"/>
      <c r="N185" s="43"/>
      <c r="O185" s="43"/>
      <c r="P185" s="43"/>
      <c r="Q185" s="43"/>
      <c r="R185" s="43"/>
      <c r="S185" s="43"/>
    </row>
    <row r="186" spans="2:20" ht="14.25" hidden="1" outlineLevel="1" x14ac:dyDescent="0.25">
      <c r="B186" s="17"/>
      <c r="C186" s="17"/>
      <c r="D186" s="21" t="s">
        <v>58</v>
      </c>
      <c r="E186" s="21"/>
      <c r="F186" s="74">
        <f>IF(NOT(ISBLANK('Referenz Pflasterwerk'!$I46)),'Referenz Pflasterwerk'!$I46,'Referenz Pflasterwerk'!$F46)*IF(NOT(ISBLANK('Eingabe EF'!$AA31)),'Eingabe EF'!$AA31,'Eingabe EF'!$Y31)*IF(NOT(ISBLANK('Referenz Pflasterwerk'!$I$12)),'Referenz Pflasterwerk'!$I$12,'Referenz Pflasterwerk'!$F$12)</f>
        <v>0</v>
      </c>
      <c r="G186" s="74">
        <f>IF(NOT(ISBLANK('Referenz Pflasterwerk'!$I46)),'Referenz Pflasterwerk'!$I46,'Referenz Pflasterwerk'!$F46)*IF(NOT(ISBLANK('Eingabe EF'!$AE31)),'Eingabe EF'!$AE31,'Eingabe EF'!$AC31)*IF(NOT(ISBLANK('Referenz Pflasterwerk'!$I$12)),'Referenz Pflasterwerk'!$I$12,'Referenz Pflasterwerk'!$F$12)</f>
        <v>0</v>
      </c>
      <c r="H186" s="74">
        <f>IF(NOT(ISBLANK('Referenz Pflasterwerk'!$I46)),'Referenz Pflasterwerk'!$I46,'Referenz Pflasterwerk'!$F46)*IF(NOT(ISBLANK('Eingabe EF'!$AI31)),'Eingabe EF'!$AI31,'Eingabe EF'!$AG31)*IF(NOT(ISBLANK('Referenz Pflasterwerk'!$I$12)),'Referenz Pflasterwerk'!$I$12,'Referenz Pflasterwerk'!$F$12)</f>
        <v>1040</v>
      </c>
      <c r="I186" s="21"/>
      <c r="J186" s="74">
        <f>F186+G186</f>
        <v>0</v>
      </c>
      <c r="K186" s="74">
        <f t="shared" ref="K186" si="32">SUM(F186:H186)</f>
        <v>1040</v>
      </c>
      <c r="L186" s="21" t="s">
        <v>198</v>
      </c>
      <c r="M186" s="43"/>
      <c r="N186" s="43"/>
      <c r="O186" s="43"/>
      <c r="P186" s="43"/>
      <c r="Q186" s="43"/>
      <c r="R186" s="43"/>
      <c r="S186" s="43"/>
    </row>
    <row r="187" spans="2:20" hidden="1" outlineLevel="1" x14ac:dyDescent="0.2">
      <c r="B187" s="17"/>
      <c r="C187" s="17"/>
      <c r="D187" s="17"/>
      <c r="E187" s="17"/>
      <c r="F187" s="20"/>
      <c r="G187" s="20"/>
      <c r="H187" s="20"/>
      <c r="I187" s="17"/>
      <c r="J187" s="17"/>
      <c r="K187" s="20"/>
      <c r="L187" s="20"/>
      <c r="M187" s="43"/>
      <c r="N187" s="43"/>
      <c r="O187" s="43"/>
      <c r="P187" s="43"/>
      <c r="Q187" s="43"/>
      <c r="R187" s="43"/>
      <c r="S187" s="43"/>
    </row>
    <row r="188" spans="2:20" ht="14.25" hidden="1" outlineLevel="1" x14ac:dyDescent="0.25">
      <c r="B188" s="69"/>
      <c r="C188" s="69" t="s">
        <v>182</v>
      </c>
      <c r="D188" s="70"/>
      <c r="E188" s="70"/>
      <c r="F188" s="71">
        <f>SUM(F189:F191)</f>
        <v>0</v>
      </c>
      <c r="G188" s="71">
        <f>SUM(G189:G191)</f>
        <v>0</v>
      </c>
      <c r="H188" s="71">
        <f>SUM(H189:H191)</f>
        <v>424.19999999999993</v>
      </c>
      <c r="I188" s="70"/>
      <c r="J188" s="71">
        <f t="shared" ref="J188" si="33">F188+G188</f>
        <v>0</v>
      </c>
      <c r="K188" s="71">
        <f t="shared" ref="K188" si="34">SUM(F188:H188)</f>
        <v>424.19999999999993</v>
      </c>
      <c r="L188" s="76" t="s">
        <v>198</v>
      </c>
      <c r="M188" s="43"/>
      <c r="N188" s="43"/>
      <c r="O188" s="43"/>
      <c r="P188" s="43"/>
      <c r="Q188" s="43"/>
      <c r="R188" s="43"/>
      <c r="S188" s="43"/>
    </row>
    <row r="189" spans="2:20" ht="15.75" hidden="1" outlineLevel="1" x14ac:dyDescent="0.3">
      <c r="B189" s="17"/>
      <c r="C189" s="17"/>
      <c r="D189" s="17" t="s">
        <v>60</v>
      </c>
      <c r="E189" s="17"/>
      <c r="F189" s="38">
        <f>IF(NOT(ISBLANK('Referenz Pflasterwerk'!$I49)),'Referenz Pflasterwerk'!$I49,'Referenz Pflasterwerk'!$F49)*IF(NOT(ISBLANK('Eingabe EF'!$AA34)),'Eingabe EF'!$AA34,'Eingabe EF'!$Y34)*IF(NOT(ISBLANK('Referenz Pflasterwerk'!$I$12)),'Referenz Pflasterwerk'!$I$12,'Referenz Pflasterwerk'!$F$12)</f>
        <v>0</v>
      </c>
      <c r="G189" s="38">
        <f>IF(NOT(ISBLANK('Referenz Pflasterwerk'!$I49)),'Referenz Pflasterwerk'!$I49,'Referenz Pflasterwerk'!$F49)*IF(NOT(ISBLANK('Eingabe EF'!$AE34)),'Eingabe EF'!$AE34,'Eingabe EF'!$AC34)*IF(NOT(ISBLANK('Referenz Pflasterwerk'!$I$12)),'Referenz Pflasterwerk'!$I$12,'Referenz Pflasterwerk'!$F$12)</f>
        <v>0</v>
      </c>
      <c r="H189" s="38">
        <f>IF(NOT(ISBLANK('Referenz Pflasterwerk'!$I49)),'Referenz Pflasterwerk'!$I49,'Referenz Pflasterwerk'!$F49)*IF(NOT(ISBLANK('Eingabe EF'!$AI34)),'Eingabe EF'!$AI34,'Eingabe EF'!$AG34)*IF(NOT(ISBLANK('Referenz Pflasterwerk'!$I$12)),'Referenz Pflasterwerk'!$I$12,'Referenz Pflasterwerk'!$F$12)</f>
        <v>356.4</v>
      </c>
      <c r="I189" s="17"/>
      <c r="J189" s="38">
        <f>F189+G189</f>
        <v>0</v>
      </c>
      <c r="K189" s="38">
        <f>SUM(F189:H189)</f>
        <v>356.4</v>
      </c>
      <c r="L189" s="17" t="s">
        <v>199</v>
      </c>
      <c r="M189" s="43"/>
      <c r="N189" s="43"/>
      <c r="O189" s="43"/>
      <c r="P189" s="43"/>
      <c r="Q189" s="43"/>
      <c r="R189" s="43"/>
      <c r="S189" s="43"/>
    </row>
    <row r="190" spans="2:20" ht="15.75" hidden="1" outlineLevel="1" x14ac:dyDescent="0.3">
      <c r="B190" s="17"/>
      <c r="C190" s="17"/>
      <c r="D190" s="17" t="s">
        <v>61</v>
      </c>
      <c r="E190" s="17"/>
      <c r="F190" s="38">
        <f>IF(NOT(ISBLANK('Referenz Pflasterwerk'!$I50)),'Referenz Pflasterwerk'!$I50,'Referenz Pflasterwerk'!$F50)*IF(NOT(ISBLANK('Eingabe EF'!$AA35)),'Eingabe EF'!$AA35,'Eingabe EF'!$Y35)*IF(NOT(ISBLANK('Referenz Pflasterwerk'!$I$12)),'Referenz Pflasterwerk'!$I$12,'Referenz Pflasterwerk'!$F$12)</f>
        <v>0</v>
      </c>
      <c r="G190" s="38">
        <f>IF(NOT(ISBLANK('Referenz Pflasterwerk'!$I50)),'Referenz Pflasterwerk'!$I50,'Referenz Pflasterwerk'!$F50)*IF(NOT(ISBLANK('Eingabe EF'!$AE35)),'Eingabe EF'!$AE35,'Eingabe EF'!$AC35)*IF(NOT(ISBLANK('Referenz Pflasterwerk'!$I$12)),'Referenz Pflasterwerk'!$I$12,'Referenz Pflasterwerk'!$F$12)</f>
        <v>0</v>
      </c>
      <c r="H190" s="38">
        <f>IF(NOT(ISBLANK('Referenz Pflasterwerk'!$I50)),'Referenz Pflasterwerk'!$I50,'Referenz Pflasterwerk'!$F50)*IF(NOT(ISBLANK('Eingabe EF'!$AI35)),'Eingabe EF'!$AI35,'Eingabe EF'!$AG35)*IF(NOT(ISBLANK('Referenz Pflasterwerk'!$I$12)),'Referenz Pflasterwerk'!$I$12,'Referenz Pflasterwerk'!$F$12)</f>
        <v>0</v>
      </c>
      <c r="I190" s="17"/>
      <c r="J190" s="38">
        <f>F190+G190</f>
        <v>0</v>
      </c>
      <c r="K190" s="38">
        <f>SUM(F190:H190)</f>
        <v>0</v>
      </c>
      <c r="L190" s="17" t="s">
        <v>199</v>
      </c>
      <c r="M190" s="43"/>
      <c r="N190" s="43"/>
      <c r="O190" s="43"/>
      <c r="P190" s="43"/>
      <c r="Q190" s="43"/>
      <c r="R190" s="43"/>
      <c r="S190" s="43"/>
    </row>
    <row r="191" spans="2:20" ht="15.75" hidden="1" outlineLevel="1" x14ac:dyDescent="0.3">
      <c r="B191" s="17"/>
      <c r="C191" s="17"/>
      <c r="D191" s="17" t="s">
        <v>62</v>
      </c>
      <c r="E191" s="17"/>
      <c r="F191" s="38">
        <f>IF(NOT(ISBLANK('Referenz Pflasterwerk'!$I51)),'Referenz Pflasterwerk'!$I51,'Referenz Pflasterwerk'!$F51)*IF(NOT(ISBLANK('Eingabe EF'!$AA36)),'Eingabe EF'!$AA36,'Eingabe EF'!$Y36)*IF(NOT(ISBLANK('Referenz Pflasterwerk'!$I$12)),'Referenz Pflasterwerk'!$I$12,'Referenz Pflasterwerk'!$F$12)</f>
        <v>0</v>
      </c>
      <c r="G191" s="38">
        <f>IF(NOT(ISBLANK('Referenz Pflasterwerk'!$I51)),'Referenz Pflasterwerk'!$I51,'Referenz Pflasterwerk'!$F51)*IF(NOT(ISBLANK('Eingabe EF'!$AE36)),'Eingabe EF'!$AE36,'Eingabe EF'!$AC36)*IF(NOT(ISBLANK('Referenz Pflasterwerk'!$I$12)),'Referenz Pflasterwerk'!$I$12,'Referenz Pflasterwerk'!$F$12)</f>
        <v>0</v>
      </c>
      <c r="H191" s="38">
        <f>IF(NOT(ISBLANK('Referenz Pflasterwerk'!$I51)),'Referenz Pflasterwerk'!$I51,'Referenz Pflasterwerk'!$F51)*IF(NOT(ISBLANK('Eingabe EF'!$AI36)),'Eingabe EF'!$AI36,'Eingabe EF'!$AG36)*IF(NOT(ISBLANK('Referenz Pflasterwerk'!$I$12)),'Referenz Pflasterwerk'!$I$12,'Referenz Pflasterwerk'!$F$12)</f>
        <v>67.799999999999983</v>
      </c>
      <c r="I191" s="17"/>
      <c r="J191" s="38">
        <f>F191+G191</f>
        <v>0</v>
      </c>
      <c r="K191" s="38">
        <f>SUM(F191:H191)</f>
        <v>67.799999999999983</v>
      </c>
      <c r="L191" s="17" t="s">
        <v>199</v>
      </c>
      <c r="M191" s="43"/>
      <c r="N191" s="43"/>
      <c r="O191" s="43"/>
      <c r="P191" s="43"/>
      <c r="Q191" s="43"/>
      <c r="R191" s="43"/>
      <c r="S191" s="43"/>
    </row>
    <row r="192" spans="2:20" hidden="1" outlineLevel="1" x14ac:dyDescent="0.2">
      <c r="B192" s="17"/>
      <c r="C192" s="17"/>
      <c r="D192" s="17"/>
      <c r="E192" s="17"/>
      <c r="F192" s="20"/>
      <c r="G192" s="20"/>
      <c r="H192" s="20"/>
      <c r="I192" s="17"/>
      <c r="J192" s="17"/>
      <c r="K192" s="20"/>
      <c r="L192" s="20"/>
      <c r="M192" s="43"/>
      <c r="N192" s="43"/>
      <c r="O192" s="43"/>
      <c r="P192" s="43"/>
      <c r="Q192" s="43"/>
      <c r="R192" s="43"/>
      <c r="S192" s="43"/>
    </row>
    <row r="193" spans="2:19" ht="14.25" hidden="1" outlineLevel="1" x14ac:dyDescent="0.25">
      <c r="B193" s="69"/>
      <c r="C193" s="69" t="s">
        <v>52</v>
      </c>
      <c r="D193" s="70"/>
      <c r="E193" s="70"/>
      <c r="F193" s="71">
        <f>SUM(F194:F197)</f>
        <v>0</v>
      </c>
      <c r="G193" s="71">
        <f>SUM(G194:G197)</f>
        <v>0</v>
      </c>
      <c r="H193" s="71">
        <f>SUM(H194:H197)</f>
        <v>185.55932668689491</v>
      </c>
      <c r="I193" s="70"/>
      <c r="J193" s="71">
        <f t="shared" ref="J193:J197" si="35">F193+G193</f>
        <v>0</v>
      </c>
      <c r="K193" s="71">
        <f t="shared" ref="K193" si="36">SUM(F193:H193)</f>
        <v>185.55932668689491</v>
      </c>
      <c r="L193" s="76" t="s">
        <v>198</v>
      </c>
      <c r="M193" s="43"/>
      <c r="N193" s="43"/>
      <c r="O193" s="43"/>
      <c r="P193" s="43"/>
      <c r="Q193" s="43"/>
      <c r="R193" s="43"/>
      <c r="S193" s="43"/>
    </row>
    <row r="194" spans="2:19" ht="15.75" hidden="1" outlineLevel="1" x14ac:dyDescent="0.3">
      <c r="B194" s="17"/>
      <c r="C194" s="17"/>
      <c r="D194" s="17" t="s">
        <v>53</v>
      </c>
      <c r="E194" s="17"/>
      <c r="F194" s="38">
        <f>IF(NOT(ISBLANK('Referenz Pflasterwerk'!$I$53)),'Referenz Pflasterwerk'!$I$53,'Referenz Pflasterwerk'!$F$53)*IF(NOT(ISBLANK('Referenz Pflasterwerk'!$I54)),'Referenz Pflasterwerk'!$I54,'Referenz Pflasterwerk'!$F54)*IF(NOT(ISBLANK('Eingabe EF'!$AA39)),'Eingabe EF'!$AA39,'Eingabe EF'!$Y39)*IF(NOT(ISBLANK('Referenz Pflasterwerk'!$I$12)),'Referenz Pflasterwerk'!$I$12,'Referenz Pflasterwerk'!$F$12)</f>
        <v>0</v>
      </c>
      <c r="G194" s="38">
        <f>IF(NOT(ISBLANK('Referenz Pflasterwerk'!$I$53)),'Referenz Pflasterwerk'!$I$53,'Referenz Pflasterwerk'!$F$53)*IF(NOT(ISBLANK('Referenz Pflasterwerk'!$I54)),'Referenz Pflasterwerk'!$I54,'Referenz Pflasterwerk'!$F54)*IF(NOT(ISBLANK('Eingabe EF'!$AE39)),'Eingabe EF'!$AE39,'Eingabe EF'!$AC39)*IF(NOT(ISBLANK('Referenz Pflasterwerk'!$I$12)),'Referenz Pflasterwerk'!$I$12,'Referenz Pflasterwerk'!$F$12)</f>
        <v>0</v>
      </c>
      <c r="H194" s="38">
        <f>IF(NOT(ISBLANK('Referenz Pflasterwerk'!$I$53)),'Referenz Pflasterwerk'!$I$53,'Referenz Pflasterwerk'!$F$53)*IF(NOT(ISBLANK('Referenz Pflasterwerk'!$I54)),'Referenz Pflasterwerk'!$I54,'Referenz Pflasterwerk'!$F54)*IF(NOT(ISBLANK('Eingabe EF'!$AI39)),'Eingabe EF'!$AI39,'Eingabe EF'!$AG39)*IF(NOT(ISBLANK('Referenz Pflasterwerk'!$I$12)),'Referenz Pflasterwerk'!$I$12,'Referenz Pflasterwerk'!$F$12)</f>
        <v>59.997399219765924</v>
      </c>
      <c r="I194" s="17"/>
      <c r="J194" s="38">
        <f t="shared" si="35"/>
        <v>0</v>
      </c>
      <c r="K194" s="38">
        <f t="shared" ref="K194:K197" si="37">SUM(F194:H194)</f>
        <v>59.997399219765924</v>
      </c>
      <c r="L194" s="17" t="s">
        <v>199</v>
      </c>
      <c r="M194" s="43"/>
      <c r="N194" s="43"/>
      <c r="O194" s="43"/>
      <c r="P194" s="43"/>
      <c r="Q194" s="43"/>
      <c r="R194" s="43"/>
      <c r="S194" s="43"/>
    </row>
    <row r="195" spans="2:19" ht="15.75" hidden="1" outlineLevel="1" x14ac:dyDescent="0.3">
      <c r="B195" s="17"/>
      <c r="C195" s="17"/>
      <c r="D195" s="17" t="s">
        <v>55</v>
      </c>
      <c r="E195" s="17"/>
      <c r="F195" s="38">
        <f>IF(NOT(ISBLANK('Referenz Pflasterwerk'!$I$53)),'Referenz Pflasterwerk'!$I$53,'Referenz Pflasterwerk'!$F$53)*IF(NOT(ISBLANK('Referenz Pflasterwerk'!$I55)),'Referenz Pflasterwerk'!$I55,'Referenz Pflasterwerk'!$F55)*IF(NOT(ISBLANK('Eingabe EF'!$AA40)),'Eingabe EF'!$AA40,'Eingabe EF'!$Y40)*IF(NOT(ISBLANK('Referenz Pflasterwerk'!$I$12)),'Referenz Pflasterwerk'!$I$12,'Referenz Pflasterwerk'!$F$12)</f>
        <v>0</v>
      </c>
      <c r="G195" s="38">
        <f>IF(NOT(ISBLANK('Referenz Pflasterwerk'!$I$53)),'Referenz Pflasterwerk'!$I$53,'Referenz Pflasterwerk'!$F$53)*IF(NOT(ISBLANK('Referenz Pflasterwerk'!$I55)),'Referenz Pflasterwerk'!$I55,'Referenz Pflasterwerk'!$F55)*IF(NOT(ISBLANK('Eingabe EF'!$AE40)),'Eingabe EF'!$AE40,'Eingabe EF'!$AC40)*IF(NOT(ISBLANK('Referenz Pflasterwerk'!$I$12)),'Referenz Pflasterwerk'!$I$12,'Referenz Pflasterwerk'!$F$12)</f>
        <v>0</v>
      </c>
      <c r="H195" s="38">
        <f>IF(NOT(ISBLANK('Referenz Pflasterwerk'!$I$53)),'Referenz Pflasterwerk'!$I$53,'Referenz Pflasterwerk'!$F$53)*IF(NOT(ISBLANK('Referenz Pflasterwerk'!$I55)),'Referenz Pflasterwerk'!$I55,'Referenz Pflasterwerk'!$F55)*IF(NOT(ISBLANK('Eingabe EF'!$AI40)),'Eingabe EF'!$AI40,'Eingabe EF'!$AG40)*IF(NOT(ISBLANK('Referenz Pflasterwerk'!$I$12)),'Referenz Pflasterwerk'!$I$12,'Referenz Pflasterwerk'!$F$12)</f>
        <v>7.224692963444574</v>
      </c>
      <c r="I195" s="17"/>
      <c r="J195" s="38">
        <f t="shared" si="35"/>
        <v>0</v>
      </c>
      <c r="K195" s="38">
        <f t="shared" si="37"/>
        <v>7.224692963444574</v>
      </c>
      <c r="L195" s="17" t="s">
        <v>199</v>
      </c>
      <c r="M195" s="43"/>
      <c r="N195" s="43"/>
      <c r="O195" s="43"/>
      <c r="P195" s="43"/>
      <c r="Q195" s="43"/>
      <c r="R195" s="43"/>
      <c r="S195" s="43"/>
    </row>
    <row r="196" spans="2:19" ht="15.75" hidden="1" outlineLevel="1" x14ac:dyDescent="0.3">
      <c r="B196" s="17"/>
      <c r="C196" s="17"/>
      <c r="D196" s="17" t="s">
        <v>56</v>
      </c>
      <c r="E196" s="17"/>
      <c r="F196" s="38">
        <f>IF(NOT(ISBLANK('Referenz Pflasterwerk'!$I$53)),'Referenz Pflasterwerk'!$I$53,'Referenz Pflasterwerk'!$F$53)*IF(NOT(ISBLANK('Referenz Pflasterwerk'!$I56)),'Referenz Pflasterwerk'!$I56,'Referenz Pflasterwerk'!$F56)*IF(NOT(ISBLANK('Eingabe EF'!$AA41)),'Eingabe EF'!$AA41,'Eingabe EF'!$Y41)*IF(NOT(ISBLANK('Referenz Pflasterwerk'!$I$12)),'Referenz Pflasterwerk'!$I$12,'Referenz Pflasterwerk'!$F$12)</f>
        <v>0</v>
      </c>
      <c r="G196" s="38">
        <f>IF(NOT(ISBLANK('Referenz Pflasterwerk'!$I$53)),'Referenz Pflasterwerk'!$I$53,'Referenz Pflasterwerk'!$F$53)*IF(NOT(ISBLANK('Referenz Pflasterwerk'!$I56)),'Referenz Pflasterwerk'!$I56,'Referenz Pflasterwerk'!$F56)*IF(NOT(ISBLANK('Eingabe EF'!$AE41)),'Eingabe EF'!$AE41,'Eingabe EF'!$AC41)*IF(NOT(ISBLANK('Referenz Pflasterwerk'!$I$12)),'Referenz Pflasterwerk'!$I$12,'Referenz Pflasterwerk'!$F$12)</f>
        <v>0</v>
      </c>
      <c r="H196" s="38">
        <f>IF(NOT(ISBLANK('Referenz Pflasterwerk'!$I$53)),'Referenz Pflasterwerk'!$I$53,'Referenz Pflasterwerk'!$F$53)*IF(NOT(ISBLANK('Referenz Pflasterwerk'!$I56)),'Referenz Pflasterwerk'!$I56,'Referenz Pflasterwerk'!$F56)*IF(NOT(ISBLANK('Eingabe EF'!$AI41)),'Eingabe EF'!$AI41,'Eingabe EF'!$AG41)*IF(NOT(ISBLANK('Referenz Pflasterwerk'!$I$12)),'Referenz Pflasterwerk'!$I$12,'Referenz Pflasterwerk'!$F$12)</f>
        <v>1.7771998266146515E-2</v>
      </c>
      <c r="I196" s="17"/>
      <c r="J196" s="38">
        <f t="shared" si="35"/>
        <v>0</v>
      </c>
      <c r="K196" s="38">
        <f t="shared" si="37"/>
        <v>1.7771998266146515E-2</v>
      </c>
      <c r="L196" s="17" t="s">
        <v>199</v>
      </c>
      <c r="M196" s="43"/>
      <c r="N196" s="43"/>
      <c r="O196" s="43"/>
      <c r="P196" s="43"/>
      <c r="Q196" s="43"/>
      <c r="R196" s="43"/>
      <c r="S196" s="43"/>
    </row>
    <row r="197" spans="2:19" ht="15.75" hidden="1" outlineLevel="1" x14ac:dyDescent="0.3">
      <c r="B197" s="17"/>
      <c r="C197" s="17"/>
      <c r="D197" s="17" t="s">
        <v>57</v>
      </c>
      <c r="E197" s="17"/>
      <c r="F197" s="38">
        <f>IF(NOT(ISBLANK('Referenz Pflasterwerk'!$I$53)),'Referenz Pflasterwerk'!$I$53,'Referenz Pflasterwerk'!$F$53)*IF(NOT(ISBLANK('Referenz Pflasterwerk'!$I57)),'Referenz Pflasterwerk'!$I57,'Referenz Pflasterwerk'!$F57)*IF(NOT(ISBLANK('Eingabe EF'!$AA42)),'Eingabe EF'!$AA42,'Eingabe EF'!$Y42)*IF(NOT(ISBLANK('Referenz Pflasterwerk'!$I$12)),'Referenz Pflasterwerk'!$I$12,'Referenz Pflasterwerk'!$F$12)</f>
        <v>0</v>
      </c>
      <c r="G197" s="38">
        <f>IF(NOT(ISBLANK('Referenz Pflasterwerk'!$I$53)),'Referenz Pflasterwerk'!$I$53,'Referenz Pflasterwerk'!$F$53)*IF(NOT(ISBLANK('Referenz Pflasterwerk'!$I57)),'Referenz Pflasterwerk'!$I57,'Referenz Pflasterwerk'!$F57)*IF(NOT(ISBLANK('Eingabe EF'!$AE42)),'Eingabe EF'!$AE42,'Eingabe EF'!$AC42)*IF(NOT(ISBLANK('Referenz Pflasterwerk'!$I$12)),'Referenz Pflasterwerk'!$I$12,'Referenz Pflasterwerk'!$F$12)</f>
        <v>0</v>
      </c>
      <c r="H197" s="38">
        <f>IF(NOT(ISBLANK('Referenz Pflasterwerk'!$I$53)),'Referenz Pflasterwerk'!$I$53,'Referenz Pflasterwerk'!$F$53)*IF(NOT(ISBLANK('Referenz Pflasterwerk'!$I57)),'Referenz Pflasterwerk'!$I57,'Referenz Pflasterwerk'!$F57)*IF(NOT(ISBLANK('Eingabe EF'!$AI42)),'Eingabe EF'!$AI42,'Eingabe EF'!$AG42)*IF(NOT(ISBLANK('Referenz Pflasterwerk'!$I$12)),'Referenz Pflasterwerk'!$I$12,'Referenz Pflasterwerk'!$F$12)</f>
        <v>118.31946250541829</v>
      </c>
      <c r="I197" s="17"/>
      <c r="J197" s="38">
        <f t="shared" si="35"/>
        <v>0</v>
      </c>
      <c r="K197" s="38">
        <f t="shared" si="37"/>
        <v>118.31946250541829</v>
      </c>
      <c r="L197" s="17" t="s">
        <v>199</v>
      </c>
      <c r="M197" s="43"/>
      <c r="N197" s="43"/>
      <c r="O197" s="43"/>
      <c r="P197" s="43"/>
      <c r="Q197" s="43"/>
      <c r="R197" s="43"/>
      <c r="S197" s="43"/>
    </row>
    <row r="198" spans="2:19" hidden="1" outlineLevel="1" x14ac:dyDescent="0.2">
      <c r="B198" s="17"/>
      <c r="C198" s="17"/>
      <c r="D198" s="17"/>
      <c r="E198" s="17"/>
      <c r="F198" s="20"/>
      <c r="G198" s="20"/>
      <c r="H198" s="20"/>
      <c r="I198" s="17"/>
      <c r="J198" s="20"/>
      <c r="K198" s="20"/>
      <c r="L198" s="17"/>
      <c r="M198" s="43"/>
      <c r="N198" s="43"/>
      <c r="O198" s="43"/>
      <c r="P198" s="43"/>
      <c r="Q198" s="43"/>
      <c r="R198" s="43"/>
      <c r="S198" s="43"/>
    </row>
    <row r="199" spans="2:19" ht="14.25" hidden="1" outlineLevel="1" x14ac:dyDescent="0.25">
      <c r="B199" s="17"/>
      <c r="C199" s="17"/>
      <c r="D199" s="21" t="s">
        <v>113</v>
      </c>
      <c r="E199" s="21"/>
      <c r="F199" s="74">
        <f>IF(NOT(ISBLANK('Referenz Pflasterwerk'!$I59)),'Referenz Pflasterwerk'!$I59,'Referenz Pflasterwerk'!$F59)*IF(NOT(ISBLANK('Eingabe EF'!$AA44)),'Eingabe EF'!$AA44,0)*IF(NOT(ISBLANK('Referenz Pflasterwerk'!$I$12)),'Referenz Pflasterwerk'!$I$12,'Referenz Pflasterwerk'!$F$12)</f>
        <v>0</v>
      </c>
      <c r="G199" s="74">
        <f>IF(NOT(ISBLANK('Referenz Pflasterwerk'!$I59)),'Referenz Pflasterwerk'!$I59,'Referenz Pflasterwerk'!$F59)*IF(NOT(ISBLANK('Eingabe EF'!$AE44)),'Eingabe EF'!$AE44,0)*IF(NOT(ISBLANK('Referenz Pflasterwerk'!$I$12)),'Referenz Pflasterwerk'!$I$12,'Referenz Pflasterwerk'!$F$12)</f>
        <v>0</v>
      </c>
      <c r="H199" s="74">
        <f>IF(NOT(ISBLANK('Referenz Pflasterwerk'!$I59)),'Referenz Pflasterwerk'!$I59,'Referenz Pflasterwerk'!$F59)*IF(NOT(ISBLANK('Eingabe EF'!$AI44)),'Eingabe EF'!$AI44,0)*IF(NOT(ISBLANK('Referenz Pflasterwerk'!$I$12)),'Referenz Pflasterwerk'!$I$12,'Referenz Pflasterwerk'!$F$12)</f>
        <v>0</v>
      </c>
      <c r="I199" s="21"/>
      <c r="J199" s="74">
        <f>F199+G199</f>
        <v>0</v>
      </c>
      <c r="K199" s="74">
        <f>SUM(F199:H199)</f>
        <v>0</v>
      </c>
      <c r="L199" s="21" t="s">
        <v>198</v>
      </c>
      <c r="M199" s="43"/>
      <c r="N199" s="43"/>
      <c r="O199" s="43"/>
      <c r="P199" s="43"/>
      <c r="Q199" s="43"/>
      <c r="R199" s="43"/>
      <c r="S199" s="43"/>
    </row>
    <row r="200" spans="2:19" ht="14.25" hidden="1" outlineLevel="1" x14ac:dyDescent="0.25">
      <c r="B200" s="17"/>
      <c r="C200" s="17"/>
      <c r="D200" s="21" t="s">
        <v>65</v>
      </c>
      <c r="E200" s="21"/>
      <c r="F200" s="74">
        <f>IF(NOT(ISBLANK('Referenz Pflasterwerk'!$I60)),'Referenz Pflasterwerk'!$I60,'Referenz Pflasterwerk'!$F60)*IF(NOT(ISBLANK('Eingabe EF'!$AA45)),'Eingabe EF'!$AA45,'Eingabe EF'!$Y45)</f>
        <v>0</v>
      </c>
      <c r="G200" s="74">
        <f>IF(NOT(ISBLANK('Referenz Pflasterwerk'!$I60)),'Referenz Pflasterwerk'!$I60,'Referenz Pflasterwerk'!$F60)*IF(NOT(ISBLANK('Eingabe EF'!$AE45)),'Eingabe EF'!$AE45,'Eingabe EF'!$AC45)</f>
        <v>0</v>
      </c>
      <c r="H200" s="74">
        <f>IF(NOT(ISBLANK('Referenz Pflasterwerk'!$I60)),'Referenz Pflasterwerk'!$I60,'Referenz Pflasterwerk'!$F60)*IF(NOT(ISBLANK('Eingabe EF'!$AI45)),'Eingabe EF'!$AI45,'Eingabe EF'!$AG45)</f>
        <v>5.4399999999999997E-2</v>
      </c>
      <c r="I200" s="21"/>
      <c r="J200" s="74">
        <f>F200+G200</f>
        <v>0</v>
      </c>
      <c r="K200" s="74">
        <f>SUM(F200:H200)</f>
        <v>5.4399999999999997E-2</v>
      </c>
      <c r="L200" s="21" t="s">
        <v>198</v>
      </c>
      <c r="M200" s="43"/>
      <c r="N200" s="43"/>
      <c r="O200" s="43"/>
      <c r="P200" s="43"/>
      <c r="Q200" s="43"/>
      <c r="R200" s="43"/>
      <c r="S200" s="43"/>
    </row>
    <row r="201" spans="2:19" hidden="1" outlineLevel="1" x14ac:dyDescent="0.2">
      <c r="B201" s="17"/>
      <c r="C201" s="17"/>
      <c r="D201" s="17"/>
      <c r="E201" s="17"/>
      <c r="F201" s="20"/>
      <c r="G201" s="20"/>
      <c r="H201" s="20"/>
      <c r="I201" s="17"/>
      <c r="J201" s="20"/>
      <c r="K201" s="20"/>
      <c r="L201" s="17"/>
      <c r="M201" s="43"/>
      <c r="N201" s="43"/>
      <c r="O201" s="43"/>
      <c r="P201" s="43"/>
      <c r="Q201" s="43"/>
      <c r="R201" s="43"/>
      <c r="S201" s="43"/>
    </row>
    <row r="202" spans="2:19" ht="14.25" hidden="1" outlineLevel="1" x14ac:dyDescent="0.25">
      <c r="B202" s="69"/>
      <c r="C202" s="69" t="s">
        <v>183</v>
      </c>
      <c r="D202" s="70"/>
      <c r="E202" s="70"/>
      <c r="F202" s="71">
        <f>SUM(F203:F205)</f>
        <v>0</v>
      </c>
      <c r="G202" s="71">
        <f>SUM(G203:G205)</f>
        <v>0</v>
      </c>
      <c r="H202" s="71">
        <f>SUM(H203:H205)</f>
        <v>0</v>
      </c>
      <c r="I202" s="70"/>
      <c r="J202" s="71">
        <f t="shared" ref="J202:J205" si="38">F202+G202</f>
        <v>0</v>
      </c>
      <c r="K202" s="71">
        <f t="shared" ref="K202" si="39">SUM(F202:H202)</f>
        <v>0</v>
      </c>
      <c r="L202" s="76" t="s">
        <v>198</v>
      </c>
      <c r="M202" s="43"/>
      <c r="N202" s="43"/>
      <c r="O202" s="43"/>
      <c r="P202" s="43"/>
      <c r="Q202" s="43"/>
      <c r="R202" s="43"/>
      <c r="S202" s="43"/>
    </row>
    <row r="203" spans="2:19" ht="15.75" hidden="1" outlineLevel="1" x14ac:dyDescent="0.3">
      <c r="B203" s="17"/>
      <c r="C203" s="17"/>
      <c r="D203" s="17" t="s">
        <v>184</v>
      </c>
      <c r="E203" s="17"/>
      <c r="F203" s="38">
        <f>IF(NOT(ISBLANK('Referenz Pflasterwerk'!$I63)),'Referenz Pflasterwerk'!$I63,'Referenz Pflasterwerk'!$F63)*IF(NOT(ISBLANK('Eingabe EF'!$AA48)),'Eingabe EF'!$AA48,0)*IF(NOT(ISBLANK('Referenz Pflasterwerk'!$I$12)),'Referenz Pflasterwerk'!$I$12,'Referenz Pflasterwerk'!$F$12)</f>
        <v>0</v>
      </c>
      <c r="G203" s="38">
        <f>IF(NOT(ISBLANK('Referenz Pflasterwerk'!$I63)),'Referenz Pflasterwerk'!$I63,'Referenz Pflasterwerk'!$F63)*IF(NOT(ISBLANK('Eingabe EF'!$AE48)),'Eingabe EF'!$AE48,0)*IF(NOT(ISBLANK('Referenz Pflasterwerk'!$I$12)),'Referenz Pflasterwerk'!$I$12,'Referenz Pflasterwerk'!$F$12)</f>
        <v>0</v>
      </c>
      <c r="H203" s="38">
        <f>IF(NOT(ISBLANK('Referenz Pflasterwerk'!$I63)),'Referenz Pflasterwerk'!$I63,'Referenz Pflasterwerk'!$F63)*IF(NOT(ISBLANK('Eingabe EF'!$AI48)),'Eingabe EF'!$AI48,0)*IF(NOT(ISBLANK('Referenz Pflasterwerk'!$I$12)),'Referenz Pflasterwerk'!$I$12,'Referenz Pflasterwerk'!$F$12)</f>
        <v>0</v>
      </c>
      <c r="I203" s="17"/>
      <c r="J203" s="38">
        <f t="shared" si="38"/>
        <v>0</v>
      </c>
      <c r="K203" s="38">
        <f t="shared" ref="K203:K205" si="40">SUM(F203:H203)</f>
        <v>0</v>
      </c>
      <c r="L203" s="17" t="s">
        <v>199</v>
      </c>
      <c r="M203" s="43"/>
      <c r="N203" s="43"/>
      <c r="O203" s="43"/>
      <c r="P203" s="43"/>
      <c r="Q203" s="43"/>
      <c r="R203" s="43"/>
      <c r="S203" s="43"/>
    </row>
    <row r="204" spans="2:19" ht="15.75" hidden="1" outlineLevel="1" x14ac:dyDescent="0.3">
      <c r="B204" s="17"/>
      <c r="C204" s="17"/>
      <c r="D204" s="17" t="s">
        <v>63</v>
      </c>
      <c r="E204" s="17"/>
      <c r="F204" s="38">
        <f>IF(NOT(ISBLANK('Referenz Pflasterwerk'!$I64)),'Referenz Pflasterwerk'!$I64,'Referenz Pflasterwerk'!$F64)*IF(NOT(ISBLANK('Eingabe EF'!$AA49)),'Eingabe EF'!$AA49,'Eingabe EF'!$Y49)*IF(NOT(ISBLANK('Referenz Pflasterwerk'!$I$12)),'Referenz Pflasterwerk'!$I$12,'Referenz Pflasterwerk'!$F$12)</f>
        <v>0</v>
      </c>
      <c r="G204" s="38">
        <f>IF(NOT(ISBLANK('Referenz Pflasterwerk'!$I64)),'Referenz Pflasterwerk'!$I64,'Referenz Pflasterwerk'!$F64)*IF(NOT(ISBLANK('Eingabe EF'!$AE49)),'Eingabe EF'!$AE49,'Eingabe EF'!$AC49)*IF(NOT(ISBLANK('Referenz Pflasterwerk'!$I$12)),'Referenz Pflasterwerk'!$I$12,'Referenz Pflasterwerk'!$F$12)</f>
        <v>0</v>
      </c>
      <c r="H204" s="38">
        <f>IF(NOT(ISBLANK('Referenz Pflasterwerk'!$I64)),'Referenz Pflasterwerk'!$I64,'Referenz Pflasterwerk'!$F64)*IF(NOT(ISBLANK('Eingabe EF'!$AI49)),'Eingabe EF'!$AI49,'Eingabe EF'!$AG49)*IF(NOT(ISBLANK('Referenz Pflasterwerk'!$I$12)),'Referenz Pflasterwerk'!$I$12,'Referenz Pflasterwerk'!$F$12)</f>
        <v>0</v>
      </c>
      <c r="I204" s="17"/>
      <c r="J204" s="38">
        <f t="shared" si="38"/>
        <v>0</v>
      </c>
      <c r="K204" s="38">
        <f t="shared" si="40"/>
        <v>0</v>
      </c>
      <c r="L204" s="17" t="s">
        <v>199</v>
      </c>
      <c r="M204" s="43"/>
      <c r="N204" s="43"/>
      <c r="O204" s="43"/>
      <c r="P204" s="43"/>
      <c r="Q204" s="43"/>
      <c r="R204" s="43"/>
      <c r="S204" s="43"/>
    </row>
    <row r="205" spans="2:19" ht="15.75" hidden="1" outlineLevel="1" x14ac:dyDescent="0.3">
      <c r="B205" s="17"/>
      <c r="C205" s="17"/>
      <c r="D205" s="17" t="s">
        <v>185</v>
      </c>
      <c r="E205" s="17"/>
      <c r="F205" s="38">
        <f>IF(NOT(ISBLANK('Referenz Pflasterwerk'!$I65)),'Referenz Pflasterwerk'!$I65,'Referenz Pflasterwerk'!$F65)*IF(NOT(ISBLANK('Eingabe EF'!$AA50)),'Eingabe EF'!$AA50,0)*IF(NOT(ISBLANK('Referenz Pflasterwerk'!$I$12)),'Referenz Pflasterwerk'!$I$12,'Referenz Pflasterwerk'!$F$12)</f>
        <v>0</v>
      </c>
      <c r="G205" s="38">
        <f>IF(NOT(ISBLANK('Referenz Pflasterwerk'!$I65)),'Referenz Pflasterwerk'!$I65,'Referenz Pflasterwerk'!$F65)*IF(NOT(ISBLANK('Eingabe EF'!$AE50)),'Eingabe EF'!$AE50,0)*IF(NOT(ISBLANK('Referenz Pflasterwerk'!$I$12)),'Referenz Pflasterwerk'!$I$12,'Referenz Pflasterwerk'!$F$12)</f>
        <v>0</v>
      </c>
      <c r="H205" s="38">
        <f>IF(NOT(ISBLANK('Referenz Pflasterwerk'!$I65)),'Referenz Pflasterwerk'!$I65,'Referenz Pflasterwerk'!$F65)*IF(NOT(ISBLANK('Eingabe EF'!$AI50)),'Eingabe EF'!$AI50,0)*IF(NOT(ISBLANK('Referenz Pflasterwerk'!$I$12)),'Referenz Pflasterwerk'!$I$12,'Referenz Pflasterwerk'!$F$12)</f>
        <v>0</v>
      </c>
      <c r="I205" s="17"/>
      <c r="J205" s="38">
        <f t="shared" si="38"/>
        <v>0</v>
      </c>
      <c r="K205" s="38">
        <f t="shared" si="40"/>
        <v>0</v>
      </c>
      <c r="L205" s="17" t="s">
        <v>199</v>
      </c>
      <c r="M205" s="43"/>
      <c r="N205" s="43"/>
      <c r="O205" s="43"/>
      <c r="P205" s="43"/>
      <c r="Q205" s="43"/>
      <c r="R205" s="43"/>
      <c r="S205" s="43"/>
    </row>
    <row r="206" spans="2:19" hidden="1" outlineLevel="1" x14ac:dyDescent="0.2">
      <c r="B206" s="17"/>
      <c r="C206" s="17"/>
      <c r="D206" s="17"/>
      <c r="E206" s="17"/>
      <c r="F206" s="20"/>
      <c r="G206" s="20"/>
      <c r="H206" s="20"/>
      <c r="I206" s="17"/>
      <c r="J206" s="17"/>
      <c r="K206" s="17"/>
      <c r="L206" s="20"/>
      <c r="M206" s="43"/>
      <c r="N206" s="43"/>
      <c r="O206" s="43"/>
      <c r="P206" s="43"/>
      <c r="Q206" s="43"/>
      <c r="R206" s="43"/>
      <c r="S206" s="43"/>
    </row>
    <row r="207" spans="2:19" ht="14.25" hidden="1" outlineLevel="1" x14ac:dyDescent="0.25">
      <c r="B207" s="69"/>
      <c r="C207" s="69" t="s">
        <v>186</v>
      </c>
      <c r="D207" s="70"/>
      <c r="E207" s="70"/>
      <c r="F207" s="71">
        <f>SUM(F208:F210)</f>
        <v>0</v>
      </c>
      <c r="G207" s="71">
        <f>SUM(G208:G210)</f>
        <v>0</v>
      </c>
      <c r="H207" s="71">
        <f>SUM(H208:H210)</f>
        <v>0</v>
      </c>
      <c r="I207" s="70"/>
      <c r="J207" s="71">
        <f>F207+G207</f>
        <v>0</v>
      </c>
      <c r="K207" s="71">
        <f t="shared" ref="K207" si="41">SUM(F207:H207)</f>
        <v>0</v>
      </c>
      <c r="L207" s="76" t="s">
        <v>198</v>
      </c>
      <c r="M207" s="43"/>
      <c r="N207" s="43"/>
      <c r="O207" s="43"/>
      <c r="P207" s="43"/>
      <c r="Q207" s="43"/>
      <c r="R207" s="43"/>
      <c r="S207" s="43"/>
    </row>
    <row r="208" spans="2:19" ht="15.75" hidden="1" outlineLevel="1" x14ac:dyDescent="0.3">
      <c r="B208" s="17"/>
      <c r="C208" s="17"/>
      <c r="D208" s="17" t="s">
        <v>67</v>
      </c>
      <c r="E208" s="17"/>
      <c r="F208" s="38">
        <f>IF(NOT(ISBLANK('Referenz Pflasterwerk'!$I68)),'Referenz Pflasterwerk'!$I68,'Referenz Pflasterwerk'!$F68)*IF(NOT(ISBLANK('Eingabe EF'!$AA53)),'Eingabe EF'!$AA53,'Eingabe EF'!$Y53)</f>
        <v>0</v>
      </c>
      <c r="G208" s="38">
        <f>IF(NOT(ISBLANK('Referenz Pflasterwerk'!$I68)),'Referenz Pflasterwerk'!$I68,'Referenz Pflasterwerk'!$F68)*IF(NOT(ISBLANK('Eingabe EF'!$AE53)),'Eingabe EF'!$AE53,'Eingabe EF'!$AC53)</f>
        <v>0</v>
      </c>
      <c r="H208" s="38">
        <f>IF(NOT(ISBLANK('Referenz Pflasterwerk'!$I68)),'Referenz Pflasterwerk'!$I68,'Referenz Pflasterwerk'!$F68)*IF(NOT(ISBLANK('Eingabe EF'!$AI53)),'Eingabe EF'!$AI53,'Eingabe EF'!$AG53)</f>
        <v>0</v>
      </c>
      <c r="I208" s="17"/>
      <c r="J208" s="38">
        <f>F208+G208</f>
        <v>0</v>
      </c>
      <c r="K208" s="38">
        <f>SUM(F208:H208)</f>
        <v>0</v>
      </c>
      <c r="L208" s="17" t="s">
        <v>199</v>
      </c>
      <c r="M208" s="43"/>
      <c r="N208" s="43"/>
      <c r="O208" s="43"/>
      <c r="P208" s="43"/>
      <c r="Q208" s="43"/>
      <c r="R208" s="43"/>
      <c r="S208" s="43"/>
    </row>
    <row r="209" spans="2:20" ht="15.75" hidden="1" outlineLevel="1" x14ac:dyDescent="0.3">
      <c r="B209" s="17"/>
      <c r="C209" s="17"/>
      <c r="D209" s="17" t="s">
        <v>188</v>
      </c>
      <c r="E209" s="17"/>
      <c r="F209" s="38">
        <f>IF(NOT(ISBLANK('Referenz Pflasterwerk'!$I69)),'Referenz Pflasterwerk'!$I69,'Referenz Pflasterwerk'!$F69)*IF(NOT(ISBLANK('Eingabe EF'!$AA54)),'Eingabe EF'!$AA54,0)</f>
        <v>0</v>
      </c>
      <c r="G209" s="38">
        <f>IF(NOT(ISBLANK('Referenz Pflasterwerk'!$I69)),'Referenz Pflasterwerk'!$I69,'Referenz Pflasterwerk'!$F69)*IF(NOT(ISBLANK('Eingabe EF'!$AE54)),'Eingabe EF'!$AE54,0)</f>
        <v>0</v>
      </c>
      <c r="H209" s="38">
        <f>IF(NOT(ISBLANK('Referenz Pflasterwerk'!$I69)),'Referenz Pflasterwerk'!$I69,'Referenz Pflasterwerk'!$F69)*IF(NOT(ISBLANK('Eingabe EF'!$AI54)),'Eingabe EF'!$AI54,0)</f>
        <v>0</v>
      </c>
      <c r="I209" s="17"/>
      <c r="J209" s="38">
        <f t="shared" ref="J209:J210" si="42">F209+G209</f>
        <v>0</v>
      </c>
      <c r="K209" s="38">
        <f t="shared" ref="K209:K210" si="43">SUM(F209:H209)</f>
        <v>0</v>
      </c>
      <c r="L209" s="17" t="s">
        <v>199</v>
      </c>
      <c r="M209" s="43"/>
      <c r="N209" s="43"/>
      <c r="O209" s="43"/>
      <c r="P209" s="43"/>
      <c r="Q209" s="43"/>
      <c r="R209" s="43"/>
      <c r="S209" s="43"/>
    </row>
    <row r="210" spans="2:20" ht="15.75" hidden="1" outlineLevel="1" x14ac:dyDescent="0.3">
      <c r="B210" s="17"/>
      <c r="C210" s="17"/>
      <c r="D210" s="17" t="s">
        <v>187</v>
      </c>
      <c r="E210" s="17"/>
      <c r="F210" s="38">
        <f>IF(NOT(ISBLANK('Referenz Pflasterwerk'!$I70)),'Referenz Pflasterwerk'!$I70,'Referenz Pflasterwerk'!$F70)*IF(NOT(ISBLANK('Eingabe EF'!$AA55)),'Eingabe EF'!$AA55,0)</f>
        <v>0</v>
      </c>
      <c r="G210" s="38">
        <f>IF(NOT(ISBLANK('Referenz Pflasterwerk'!$I70)),'Referenz Pflasterwerk'!$I70,'Referenz Pflasterwerk'!$F70)*IF(NOT(ISBLANK('Eingabe EF'!$AE55)),'Eingabe EF'!$AE55,0)</f>
        <v>0</v>
      </c>
      <c r="H210" s="38">
        <f>IF(NOT(ISBLANK('Referenz Pflasterwerk'!$I70)),'Referenz Pflasterwerk'!$I70,'Referenz Pflasterwerk'!$F70)*IF(NOT(ISBLANK('Eingabe EF'!$AI55)),'Eingabe EF'!$AI55,0)</f>
        <v>0</v>
      </c>
      <c r="I210" s="17"/>
      <c r="J210" s="38">
        <f t="shared" si="42"/>
        <v>0</v>
      </c>
      <c r="K210" s="38">
        <f t="shared" si="43"/>
        <v>0</v>
      </c>
      <c r="L210" s="17" t="s">
        <v>199</v>
      </c>
      <c r="M210" s="43"/>
      <c r="N210" s="43"/>
      <c r="O210" s="43"/>
      <c r="P210" s="43"/>
      <c r="Q210" s="43"/>
      <c r="R210" s="43"/>
      <c r="S210" s="43"/>
    </row>
    <row r="211" spans="2:20" hidden="1" outlineLevel="1" x14ac:dyDescent="0.2">
      <c r="B211" s="17"/>
      <c r="C211" s="17"/>
      <c r="D211" s="17"/>
      <c r="E211" s="17"/>
      <c r="F211" s="20"/>
      <c r="G211" s="20"/>
      <c r="H211" s="20"/>
      <c r="I211" s="17"/>
      <c r="J211" s="17"/>
      <c r="K211" s="17"/>
      <c r="L211" s="20"/>
      <c r="M211" s="43"/>
      <c r="N211" s="43"/>
      <c r="O211" s="43"/>
      <c r="P211" s="43"/>
      <c r="Q211" s="43"/>
      <c r="R211" s="43"/>
      <c r="S211" s="43"/>
    </row>
    <row r="212" spans="2:20" ht="14.25" hidden="1" outlineLevel="1" x14ac:dyDescent="0.25">
      <c r="B212" s="17"/>
      <c r="C212" s="17"/>
      <c r="D212" s="21" t="s">
        <v>64</v>
      </c>
      <c r="E212" s="21"/>
      <c r="F212" s="74">
        <f>IF(NOT(ISBLANK('Referenz Pflasterwerk'!$I72)),'Referenz Pflasterwerk'!$I72,'Referenz Pflasterwerk'!$F72)*IF(NOT(ISBLANK('Eingabe EF'!$AA57)),'Eingabe EF'!$AA57,'Eingabe EF'!$Y57)</f>
        <v>0</v>
      </c>
      <c r="G212" s="74">
        <f>IF(NOT(ISBLANK('Referenz Pflasterwerk'!$I72)),'Referenz Pflasterwerk'!$I72,'Referenz Pflasterwerk'!$F72)*IF(NOT(ISBLANK('Eingabe EF'!$AE57)),'Eingabe EF'!$AE57,'Eingabe EF'!$AC57)</f>
        <v>0</v>
      </c>
      <c r="H212" s="74">
        <f>IF(NOT(ISBLANK('Referenz Pflasterwerk'!$I72)),'Referenz Pflasterwerk'!$I72,'Referenz Pflasterwerk'!$F72)*IF(NOT(ISBLANK('Eingabe EF'!$AI57)),'Eingabe EF'!$AI57,'Eingabe EF'!$AG57)</f>
        <v>161.20000000000002</v>
      </c>
      <c r="I212" s="21"/>
      <c r="J212" s="74">
        <f t="shared" ref="J212" si="44">F212+G212</f>
        <v>0</v>
      </c>
      <c r="K212" s="74">
        <f t="shared" ref="K212" si="45">SUM(F212:H212)</f>
        <v>161.20000000000002</v>
      </c>
      <c r="L212" s="21" t="s">
        <v>198</v>
      </c>
      <c r="M212" s="43"/>
      <c r="N212" s="43"/>
      <c r="O212" s="43"/>
      <c r="P212" s="43"/>
      <c r="Q212" s="43"/>
      <c r="R212" s="43"/>
      <c r="S212" s="43"/>
    </row>
    <row r="213" spans="2:20" hidden="1" outlineLevel="1" x14ac:dyDescent="0.2">
      <c r="B213" s="17"/>
      <c r="C213" s="17"/>
      <c r="D213" s="17"/>
      <c r="E213" s="17"/>
      <c r="F213" s="20"/>
      <c r="G213" s="20"/>
      <c r="H213" s="20"/>
      <c r="I213" s="17"/>
      <c r="J213" s="17"/>
      <c r="K213" s="17"/>
      <c r="L213" s="20"/>
      <c r="M213" s="43"/>
      <c r="N213" s="43"/>
      <c r="O213" s="43"/>
      <c r="P213" s="43"/>
      <c r="Q213" s="43"/>
      <c r="R213" s="43"/>
      <c r="S213" s="43"/>
    </row>
    <row r="214" spans="2:20" ht="15" hidden="1" outlineLevel="1" thickBot="1" x14ac:dyDescent="0.3">
      <c r="B214" s="17"/>
      <c r="C214" s="17"/>
      <c r="D214" s="67" t="s">
        <v>70</v>
      </c>
      <c r="E214" s="67"/>
      <c r="F214" s="68">
        <f>SUM(F157:F212)-F171-F175-F181-F188-F193-F202-F207</f>
        <v>106.60088015999999</v>
      </c>
      <c r="G214" s="68">
        <f>SUM(G157:G212)-G171-G175-G181-G188-G193-G202-G207</f>
        <v>199.82791534194143</v>
      </c>
      <c r="H214" s="68">
        <f>SUM(H157:H212)-H171-H175-H181-H188-H193-H202-H207</f>
        <v>10507.917105104358</v>
      </c>
      <c r="I214" s="21"/>
      <c r="J214" s="68">
        <f t="shared" ref="J214" si="46">SUM(J157:J212)-J171-J175-J181-J188-J193-J202-J207</f>
        <v>306.42879550194147</v>
      </c>
      <c r="K214" s="68">
        <f>SUM(K157:K212)-K171-K175-K181-K188-K193-K202-K207</f>
        <v>10814.345900606297</v>
      </c>
      <c r="L214" s="68" t="s">
        <v>198</v>
      </c>
      <c r="M214" s="43"/>
      <c r="N214" s="43"/>
      <c r="O214" s="43"/>
      <c r="P214" s="43"/>
      <c r="Q214" s="43"/>
      <c r="R214" s="43"/>
      <c r="S214" s="43"/>
    </row>
    <row r="215" spans="2:20" ht="13.5" hidden="1" outlineLevel="1" thickTop="1" x14ac:dyDescent="0.2">
      <c r="B215" s="17"/>
      <c r="C215" s="17"/>
      <c r="D215" s="17"/>
      <c r="E215" s="17"/>
      <c r="F215" s="20"/>
      <c r="G215" s="20"/>
      <c r="H215" s="20"/>
      <c r="I215" s="17"/>
      <c r="J215" s="17"/>
      <c r="K215" s="17"/>
      <c r="L215" s="20"/>
      <c r="M215" s="43"/>
      <c r="N215" s="43"/>
      <c r="O215" s="43"/>
      <c r="P215" s="43"/>
      <c r="Q215" s="43"/>
      <c r="R215" s="43"/>
      <c r="S215" s="43"/>
    </row>
    <row r="216" spans="2:20" collapsed="1" x14ac:dyDescent="0.2"/>
    <row r="218" spans="2:20" ht="15.75" hidden="1" outlineLevel="1" x14ac:dyDescent="0.25">
      <c r="B218" s="22"/>
      <c r="C218" s="22" t="s">
        <v>117</v>
      </c>
      <c r="D218" s="17"/>
      <c r="E218" s="17"/>
      <c r="F218" s="17"/>
      <c r="G218" s="17"/>
      <c r="H218" s="17"/>
      <c r="I218" s="17"/>
      <c r="J218" s="17"/>
      <c r="K218" s="17"/>
      <c r="L218" s="17"/>
      <c r="N218" s="22" t="s">
        <v>120</v>
      </c>
      <c r="O218" s="17"/>
      <c r="P218" s="17"/>
      <c r="Q218" s="17"/>
      <c r="R218" s="17"/>
      <c r="S218" s="17"/>
      <c r="T218" s="17"/>
    </row>
    <row r="219" spans="2:20" ht="15" hidden="1" outlineLevel="1" x14ac:dyDescent="0.25">
      <c r="B219" s="64"/>
      <c r="C219" s="64">
        <v>2030</v>
      </c>
      <c r="D219" s="25"/>
      <c r="E219" s="25"/>
      <c r="F219" s="25"/>
      <c r="G219" s="25"/>
      <c r="H219" s="25"/>
      <c r="I219" s="25"/>
      <c r="J219" s="25"/>
      <c r="K219" s="25"/>
      <c r="L219" s="25"/>
      <c r="N219" s="64">
        <v>2030</v>
      </c>
      <c r="O219" s="17"/>
      <c r="P219" s="17"/>
      <c r="Q219" s="17"/>
      <c r="R219" s="17"/>
      <c r="S219" s="17"/>
      <c r="T219" s="17"/>
    </row>
    <row r="220" spans="2:20" hidden="1" outlineLevel="1" x14ac:dyDescent="0.2">
      <c r="B220" s="17"/>
      <c r="C220" s="17"/>
      <c r="D220" s="17" t="s">
        <v>207</v>
      </c>
      <c r="E220" s="315">
        <f>(1-(IF(NOT(ISBLANK($K21)),$K21/100,$I21/100)))</f>
        <v>0.95</v>
      </c>
      <c r="F220" s="17"/>
      <c r="G220" s="17"/>
      <c r="H220" s="17"/>
      <c r="I220" s="17"/>
      <c r="J220" s="17"/>
      <c r="K220" s="17"/>
      <c r="L220" s="17"/>
      <c r="N220" s="17"/>
      <c r="O220" s="17"/>
      <c r="P220" s="17"/>
      <c r="Q220" s="17"/>
      <c r="R220" s="17"/>
      <c r="S220" s="17"/>
      <c r="T220" s="17"/>
    </row>
    <row r="221" spans="2:20" hidden="1" outlineLevel="1" x14ac:dyDescent="0.2">
      <c r="B221" s="17"/>
      <c r="C221" s="17"/>
      <c r="D221" s="17" t="s">
        <v>75</v>
      </c>
      <c r="E221" s="315" t="str">
        <f>IF(NOT(ISBLANK($G$16)),$G$16,$E$16)</f>
        <v>Strom</v>
      </c>
      <c r="F221" s="17"/>
      <c r="G221" s="17"/>
      <c r="H221" s="17"/>
      <c r="I221" s="17"/>
      <c r="J221" s="17"/>
      <c r="K221" s="17"/>
      <c r="L221" s="17"/>
      <c r="N221" s="17"/>
      <c r="O221" s="17"/>
      <c r="P221" s="17"/>
      <c r="Q221" s="17"/>
      <c r="R221" s="17"/>
      <c r="S221" s="17"/>
      <c r="T221" s="17"/>
    </row>
    <row r="222" spans="2:20" hidden="1" outlineLevel="1" x14ac:dyDescent="0.2">
      <c r="B222" s="17"/>
      <c r="C222" s="17"/>
      <c r="D222" s="17"/>
      <c r="E222" s="316" t="s">
        <v>92</v>
      </c>
      <c r="F222" s="17" t="s">
        <v>257</v>
      </c>
      <c r="G222" s="17"/>
      <c r="H222" s="17"/>
      <c r="I222" s="17"/>
      <c r="J222" s="17"/>
      <c r="K222" s="17"/>
      <c r="L222" s="17"/>
      <c r="N222" s="17"/>
      <c r="O222" s="17"/>
      <c r="P222" s="17"/>
      <c r="Q222" s="17"/>
      <c r="R222" s="17"/>
      <c r="S222" s="17"/>
      <c r="T222" s="17"/>
    </row>
    <row r="223" spans="2:20" hidden="1" outlineLevel="1" x14ac:dyDescent="0.2">
      <c r="B223" s="17"/>
      <c r="C223" s="17"/>
      <c r="D223" s="17" t="s">
        <v>32</v>
      </c>
      <c r="E223" s="42">
        <f>IF(NOT(ISBLANK('Referenz Pflasterwerk'!$I$21)),'Referenz Pflasterwerk'!$I$21,'Referenz Pflasterwerk'!$F$21)</f>
        <v>36000</v>
      </c>
      <c r="F223" s="42">
        <f>IF($E$221=D223,E223*$E$220,E223)</f>
        <v>36000</v>
      </c>
      <c r="G223" s="17" t="str">
        <f>'Referenz Pflasterwerk'!$G$21</f>
        <v>kWh Hs</v>
      </c>
      <c r="H223" s="17"/>
      <c r="I223" s="17"/>
      <c r="J223" s="17"/>
      <c r="K223" s="17"/>
      <c r="L223" s="17"/>
      <c r="N223" s="17"/>
      <c r="O223" s="17"/>
      <c r="P223" s="17"/>
      <c r="Q223" s="17"/>
      <c r="R223" s="17"/>
      <c r="S223" s="17"/>
      <c r="T223" s="17"/>
    </row>
    <row r="224" spans="2:20" hidden="1" outlineLevel="1" x14ac:dyDescent="0.2">
      <c r="B224" s="17"/>
      <c r="C224" s="17"/>
      <c r="D224" s="17" t="s">
        <v>33</v>
      </c>
      <c r="E224" s="42">
        <f>IF(NOT(ISBLANK('Referenz Pflasterwerk'!$I$22)),'Referenz Pflasterwerk'!$I$22,'Referenz Pflasterwerk'!$F$22)</f>
        <v>8000</v>
      </c>
      <c r="F224" s="42">
        <f>IF($E$221=D224,E224*$E$220,E224)</f>
        <v>8000</v>
      </c>
      <c r="G224" s="17" t="str">
        <f>'Referenz Pflasterwerk'!$G$22</f>
        <v>kWh Hi</v>
      </c>
      <c r="H224" s="17"/>
      <c r="I224" s="17"/>
      <c r="J224" s="17"/>
      <c r="K224" s="17"/>
      <c r="L224" s="17"/>
      <c r="N224" s="17"/>
      <c r="O224" s="17"/>
      <c r="P224" s="17"/>
      <c r="Q224" s="17"/>
      <c r="R224" s="17"/>
      <c r="S224" s="17"/>
      <c r="T224" s="17"/>
    </row>
    <row r="225" spans="2:20" hidden="1" outlineLevel="1" x14ac:dyDescent="0.2">
      <c r="B225" s="17"/>
      <c r="C225" s="17"/>
      <c r="D225" s="17" t="s">
        <v>34</v>
      </c>
      <c r="E225" s="42">
        <f>IF(NOT(ISBLANK('Referenz Pflasterwerk'!$I$24)),'Referenz Pflasterwerk'!$I$24,'Referenz Pflasterwerk'!$F$24)</f>
        <v>600000</v>
      </c>
      <c r="F225" s="42">
        <f>IF($E$221=D225,E225*$E$220,E225)</f>
        <v>570000</v>
      </c>
      <c r="G225" s="17" t="str">
        <f>'Referenz Pflasterwerk'!$J$24</f>
        <v>kWh</v>
      </c>
      <c r="H225" s="17"/>
      <c r="I225" s="17"/>
      <c r="J225" s="17"/>
      <c r="K225" s="17"/>
      <c r="L225" s="17"/>
      <c r="N225" s="17"/>
      <c r="O225" s="17"/>
      <c r="P225" s="17"/>
      <c r="Q225" s="17"/>
      <c r="R225" s="17"/>
      <c r="S225" s="17"/>
      <c r="T225" s="17"/>
    </row>
    <row r="226" spans="2:20" hidden="1" outlineLevel="1" x14ac:dyDescent="0.2">
      <c r="B226" s="17"/>
      <c r="C226" s="17"/>
      <c r="D226" s="17" t="s">
        <v>125</v>
      </c>
      <c r="E226" s="42">
        <f>IF(NOT(ISBLANK('Referenz Pflasterwerk'!$I$25)),'Referenz Pflasterwerk'!$I$25,'Referenz Pflasterwerk'!$F$25)</f>
        <v>0</v>
      </c>
      <c r="F226" s="42">
        <f t="shared" ref="F226" si="47">IF($E$221=D226,E226*$E$220,E226)</f>
        <v>0</v>
      </c>
      <c r="G226" s="17" t="str">
        <f>'Referenz Pflasterwerk'!$J$25</f>
        <v>kWh</v>
      </c>
      <c r="H226" s="17"/>
      <c r="I226" s="17"/>
      <c r="J226" s="17"/>
      <c r="K226" s="17"/>
      <c r="L226" s="17"/>
      <c r="N226" s="17"/>
      <c r="O226" s="17"/>
      <c r="P226" s="17"/>
      <c r="Q226" s="17"/>
      <c r="R226" s="17"/>
      <c r="S226" s="17"/>
      <c r="T226" s="17"/>
    </row>
    <row r="227" spans="2:20" hidden="1" outlineLevel="1" x14ac:dyDescent="0.2">
      <c r="B227" s="17"/>
      <c r="C227" s="17"/>
      <c r="D227" s="17" t="s">
        <v>132</v>
      </c>
      <c r="E227" s="42">
        <f>IF(NOT(ISBLANK('Referenz Pflasterwerk'!$I$26)),'Referenz Pflasterwerk'!$I$26,'Referenz Pflasterwerk'!$F$26)</f>
        <v>0</v>
      </c>
      <c r="F227" s="42">
        <f>IF($E$221=D227,E227*$E$220,E227)</f>
        <v>0</v>
      </c>
      <c r="G227" s="17" t="str">
        <f>'Referenz Pflasterwerk'!$J$26</f>
        <v>kWh</v>
      </c>
      <c r="H227" s="17"/>
      <c r="I227" s="17"/>
      <c r="J227" s="17"/>
      <c r="K227" s="17"/>
      <c r="L227" s="17"/>
      <c r="N227" s="17"/>
      <c r="O227" s="17"/>
      <c r="P227" s="17"/>
      <c r="Q227" s="17"/>
      <c r="R227" s="17"/>
      <c r="S227" s="17"/>
      <c r="T227" s="17"/>
    </row>
    <row r="228" spans="2:20" hidden="1" outlineLevel="1" x14ac:dyDescent="0.2">
      <c r="B228" s="17"/>
      <c r="C228" s="17"/>
      <c r="D228" s="17"/>
      <c r="E228" s="316"/>
      <c r="F228" s="17"/>
      <c r="G228" s="17"/>
      <c r="H228" s="17"/>
      <c r="I228" s="17"/>
      <c r="J228" s="17"/>
      <c r="K228" s="17"/>
      <c r="L228" s="17"/>
      <c r="N228" s="17"/>
      <c r="O228" s="17"/>
      <c r="P228" s="17"/>
      <c r="Q228" s="17"/>
      <c r="R228" s="17"/>
      <c r="S228" s="17"/>
      <c r="T228" s="17"/>
    </row>
    <row r="229" spans="2:20" hidden="1" outlineLevel="1" x14ac:dyDescent="0.2">
      <c r="B229" s="17"/>
      <c r="C229" s="17"/>
      <c r="D229" s="17"/>
      <c r="E229" s="17"/>
      <c r="F229" s="17"/>
      <c r="G229" s="17"/>
      <c r="H229" s="17"/>
      <c r="I229" s="17"/>
      <c r="J229" s="17"/>
      <c r="K229" s="17"/>
      <c r="L229" s="17"/>
      <c r="N229" s="17"/>
      <c r="O229" s="17"/>
      <c r="P229" s="17"/>
      <c r="Q229" s="17"/>
      <c r="R229" s="17"/>
      <c r="S229" s="17"/>
      <c r="T229" s="17"/>
    </row>
    <row r="230" spans="2:20" ht="25.5" hidden="1" outlineLevel="1" x14ac:dyDescent="0.2">
      <c r="B230" s="17"/>
      <c r="C230" s="17"/>
      <c r="D230" s="17"/>
      <c r="E230" s="17"/>
      <c r="F230" s="36" t="s">
        <v>27</v>
      </c>
      <c r="G230" s="36" t="s">
        <v>85</v>
      </c>
      <c r="H230" s="36" t="s">
        <v>29</v>
      </c>
      <c r="I230" s="17"/>
      <c r="J230" s="40" t="s">
        <v>114</v>
      </c>
      <c r="K230" s="41" t="s">
        <v>40</v>
      </c>
      <c r="L230" s="17"/>
      <c r="N230" s="17"/>
      <c r="O230" s="17"/>
      <c r="P230" s="17"/>
      <c r="Q230" s="18"/>
      <c r="R230" s="17"/>
      <c r="S230" s="18"/>
      <c r="T230" s="18"/>
    </row>
    <row r="231" spans="2:20" ht="14.25" hidden="1" outlineLevel="1" x14ac:dyDescent="0.25">
      <c r="B231" s="76"/>
      <c r="C231" s="76" t="s">
        <v>191</v>
      </c>
      <c r="D231" s="76"/>
      <c r="E231" s="76"/>
      <c r="F231" s="77">
        <f>SUM(F233:F246)</f>
        <v>106.60088015999999</v>
      </c>
      <c r="G231" s="77">
        <f>SUM(G233:G246)</f>
        <v>98.48408775377689</v>
      </c>
      <c r="H231" s="77">
        <f>SUM(H233:H246)</f>
        <v>33.150430450606038</v>
      </c>
      <c r="I231" s="76"/>
      <c r="J231" s="77">
        <f>F231+G231</f>
        <v>205.08496791377689</v>
      </c>
      <c r="K231" s="77">
        <f>SUM(F231:H231)</f>
        <v>238.23539836438295</v>
      </c>
      <c r="L231" s="76" t="s">
        <v>198</v>
      </c>
      <c r="N231" s="17"/>
      <c r="O231" s="17"/>
      <c r="P231" s="17"/>
      <c r="Q231" s="18"/>
      <c r="R231" s="17"/>
      <c r="S231" s="18"/>
      <c r="T231" s="18"/>
    </row>
    <row r="232" spans="2:20" hidden="1" outlineLevel="1" x14ac:dyDescent="0.2">
      <c r="B232" s="17"/>
      <c r="C232" s="17" t="s">
        <v>148</v>
      </c>
      <c r="D232" s="17"/>
      <c r="E232" s="17"/>
      <c r="F232" s="17"/>
      <c r="G232" s="17"/>
      <c r="H232" s="17"/>
      <c r="I232" s="17"/>
      <c r="J232" s="17"/>
      <c r="K232" s="17"/>
      <c r="L232" s="17"/>
      <c r="N232" s="17" t="s">
        <v>148</v>
      </c>
      <c r="O232" s="17"/>
      <c r="P232" s="17"/>
      <c r="Q232" s="18"/>
      <c r="R232" s="17"/>
      <c r="S232" s="18"/>
      <c r="T232" s="18"/>
    </row>
    <row r="233" spans="2:20" ht="15.75" hidden="1" outlineLevel="1" x14ac:dyDescent="0.3">
      <c r="B233" s="302"/>
      <c r="C233" s="17"/>
      <c r="D233" s="17" t="s">
        <v>128</v>
      </c>
      <c r="E233" s="17"/>
      <c r="F233" s="38">
        <f>IF(NOT(ISBLANK('Referenz Pflasterwerk'!$I16)),'Referenz Pflasterwerk'!$I16,'Referenz Pflasterwerk'!$F16)*IF(NOT(ISBLANK('Eingabe EF'!$AS9)),'Eingabe EF'!$AS9,'Eingabe EF'!$AQ9)</f>
        <v>1.6484399999999999</v>
      </c>
      <c r="G233" s="38">
        <f>IF(NOT(ISBLANK('Referenz Pflasterwerk'!$I16)),'Referenz Pflasterwerk'!$I16,'Referenz Pflasterwerk'!$F16)*IF(NOT(ISBLANK('Eingabe EF'!$AW9)),'Eingabe EF'!$AW9,'Eingabe EF'!$AU9)</f>
        <v>0</v>
      </c>
      <c r="H233" s="38">
        <f>IF(NOT(ISBLANK('Referenz Pflasterwerk'!$I16)),'Referenz Pflasterwerk'!$I16,'Referenz Pflasterwerk'!$F16)*IF(NOT(ISBLANK('Eingabe EF'!$BA9)),'Eingabe EF'!$BA9,'Eingabe EF'!$AY9)</f>
        <v>0.28215000000000001</v>
      </c>
      <c r="I233" s="17"/>
      <c r="J233" s="38">
        <f>F233+G233</f>
        <v>1.6484399999999999</v>
      </c>
      <c r="K233" s="38">
        <f>SUM(F233:H233)</f>
        <v>1.93059</v>
      </c>
      <c r="L233" s="17" t="s">
        <v>199</v>
      </c>
      <c r="N233" s="302"/>
      <c r="O233" s="17" t="s">
        <v>128</v>
      </c>
      <c r="P233" s="17"/>
      <c r="Q233" s="19"/>
      <c r="R233" s="17"/>
      <c r="S233" s="42">
        <f>IF(NOT(ISBLANK('Referenz Pflasterwerk'!$I16)),'Referenz Pflasterwerk'!$I16,'Referenz Pflasterwerk'!$F16)/1000*IF(NOT(ISBLANK('Eingabe Preise'!$O10)),'Eingabe Preise'!$O10,'Eingabe Preise'!$M10)</f>
        <v>549</v>
      </c>
      <c r="T233" s="20" t="s">
        <v>109</v>
      </c>
    </row>
    <row r="234" spans="2:20" ht="15.75" hidden="1" outlineLevel="1" x14ac:dyDescent="0.3">
      <c r="B234" s="302"/>
      <c r="C234" s="17"/>
      <c r="D234" s="17" t="s">
        <v>166</v>
      </c>
      <c r="E234" s="17"/>
      <c r="F234" s="38">
        <f>IF(NOT(ISBLANK('Referenz Pflasterwerk'!$I17)),'Referenz Pflasterwerk'!$I17,'Referenz Pflasterwerk'!$F17)*IF(NOT(ISBLANK('Eingabe EF'!$AS10)),'Eingabe EF'!$AS10,'Eingabe EF'!$AQ10)</f>
        <v>0.53351999999999999</v>
      </c>
      <c r="G234" s="38">
        <f>IF(NOT(ISBLANK('Referenz Pflasterwerk'!$I17)),'Referenz Pflasterwerk'!$I17,'Referenz Pflasterwerk'!$F17)*IF(NOT(ISBLANK('Eingabe EF'!$AW10)),'Eingabe EF'!$AW10,'Eingabe EF'!$AU10)</f>
        <v>0</v>
      </c>
      <c r="H234" s="38">
        <f>IF(NOT(ISBLANK('Referenz Pflasterwerk'!$I17)),'Referenz Pflasterwerk'!$I17,'Referenz Pflasterwerk'!$F17)*IF(NOT(ISBLANK('Eingabe EF'!$BA10)),'Eingabe EF'!$BA10,'Eingabe EF'!$AY10)</f>
        <v>7.9152E-2</v>
      </c>
      <c r="I234" s="17"/>
      <c r="J234" s="38">
        <f>F234+G234</f>
        <v>0.53351999999999999</v>
      </c>
      <c r="K234" s="38">
        <f>SUM(F234:H234)</f>
        <v>0.61267199999999999</v>
      </c>
      <c r="L234" s="17" t="s">
        <v>199</v>
      </c>
      <c r="N234" s="302"/>
      <c r="O234" s="17" t="s">
        <v>166</v>
      </c>
      <c r="P234" s="17"/>
      <c r="Q234" s="20"/>
      <c r="R234" s="17"/>
      <c r="S234" s="42">
        <f>IF(NOT(ISBLANK('Referenz Pflasterwerk'!$I17)),'Referenz Pflasterwerk'!$I17,'Referenz Pflasterwerk'!$F17)/1000*IF(NOT(ISBLANK('Eingabe Preise'!$O11)),'Eingabe Preise'!$O11,'Eingabe Preise'!$M11)</f>
        <v>92</v>
      </c>
      <c r="T234" s="20" t="s">
        <v>109</v>
      </c>
    </row>
    <row r="235" spans="2:20" ht="15.75" hidden="1" outlineLevel="1" x14ac:dyDescent="0.3">
      <c r="B235" s="302"/>
      <c r="C235" s="17"/>
      <c r="D235" s="17" t="s">
        <v>154</v>
      </c>
      <c r="E235" s="17"/>
      <c r="F235" s="38">
        <f>IF(NOT(ISBLANK('Referenz Pflasterwerk'!$I18)),'Referenz Pflasterwerk'!$I18,'Referenz Pflasterwerk'!$F18)*IF(NOT(ISBLANK('Eingabe EF'!$AS11)),'Eingabe EF'!$AS11,'Eingabe EF'!$AQ11)</f>
        <v>0</v>
      </c>
      <c r="G235" s="38">
        <f>IF(NOT(ISBLANK('Referenz Pflasterwerk'!$I18)),'Referenz Pflasterwerk'!$I18,'Referenz Pflasterwerk'!$F18)*IF(NOT(ISBLANK('Eingabe EF'!$AW11)),'Eingabe EF'!$AW11,'Eingabe EF'!$AU11)</f>
        <v>20.517518282036853</v>
      </c>
      <c r="H235" s="38">
        <f>IF(NOT(ISBLANK('Referenz Pflasterwerk'!$I18)),'Referenz Pflasterwerk'!$I18,'Referenz Pflasterwerk'!$F18)*IF(NOT(ISBLANK('Eingabe EF'!$BA11)),'Eingabe EF'!$BA11,'Eingabe EF'!$AY11)</f>
        <v>3.0078037272095908</v>
      </c>
      <c r="I235" s="17"/>
      <c r="J235" s="38">
        <f>F235+G235</f>
        <v>20.517518282036853</v>
      </c>
      <c r="K235" s="38">
        <f>SUM(F235:H235)</f>
        <v>23.525322009246445</v>
      </c>
      <c r="L235" s="17" t="s">
        <v>199</v>
      </c>
      <c r="N235" s="302"/>
      <c r="O235" s="17" t="s">
        <v>154</v>
      </c>
      <c r="P235" s="17"/>
      <c r="Q235" s="20"/>
      <c r="R235" s="17"/>
      <c r="S235" s="42">
        <f>IF(NOT(ISBLANK('Referenz Pflasterwerk'!$I18)),'Referenz Pflasterwerk'!$I18,'Referenz Pflasterwerk'!$F18)/1000*IF(NOT(ISBLANK('Eingabe Preise'!$O12)),'Eingabe Preise'!$O12,'Eingabe Preise'!$M12)</f>
        <v>25800</v>
      </c>
      <c r="T235" s="20" t="s">
        <v>109</v>
      </c>
    </row>
    <row r="236" spans="2:20" ht="15.75" hidden="1" outlineLevel="1" x14ac:dyDescent="0.3">
      <c r="B236" s="302"/>
      <c r="C236" s="17"/>
      <c r="D236" s="17" t="s">
        <v>129</v>
      </c>
      <c r="E236" s="17"/>
      <c r="F236" s="44">
        <f>IF(NOT(ISBLANK('Referenz Pflasterwerk'!$I19)),'Referenz Pflasterwerk'!$I19,'Referenz Pflasterwerk'!$F19)*IF(NOT(ISBLANK('Eingabe EF'!$AS12)),'Eingabe EF'!$AS12,0)</f>
        <v>0</v>
      </c>
      <c r="G236" s="44">
        <f>IF(NOT(ISBLANK('Referenz Pflasterwerk'!$I19)),'Referenz Pflasterwerk'!$I19,'Referenz Pflasterwerk'!$F19)*IF(NOT(ISBLANK('Eingabe EF'!$AW12)),'Eingabe EF'!$AW12,0)</f>
        <v>0</v>
      </c>
      <c r="H236" s="44">
        <f>IF(NOT(ISBLANK('Referenz Pflasterwerk'!$I19)),'Referenz Pflasterwerk'!$I19,'Referenz Pflasterwerk'!$F19)*IF(NOT(ISBLANK('Eingabe EF'!$BA12)),'Eingabe EF'!$BA12,0)</f>
        <v>0</v>
      </c>
      <c r="I236" s="17"/>
      <c r="J236" s="38">
        <f>F236+G236</f>
        <v>0</v>
      </c>
      <c r="K236" s="38">
        <f>SUM(F236:H236)</f>
        <v>0</v>
      </c>
      <c r="L236" s="17" t="s">
        <v>199</v>
      </c>
      <c r="N236" s="302"/>
      <c r="O236" s="17" t="s">
        <v>129</v>
      </c>
      <c r="P236" s="17"/>
      <c r="Q236" s="20"/>
      <c r="R236" s="17"/>
      <c r="S236" s="42">
        <f>IF(NOT(ISBLANK('Referenz Pflasterwerk'!$I19)),'Referenz Pflasterwerk'!$I19,'Referenz Pflasterwerk'!$F19)/1000*IF(NOT(ISBLANK('Eingabe Preise'!$O16)),'Eingabe Preise'!$O16,0)</f>
        <v>0</v>
      </c>
      <c r="T236" s="20" t="s">
        <v>109</v>
      </c>
    </row>
    <row r="237" spans="2:20" hidden="1" outlineLevel="1" x14ac:dyDescent="0.2">
      <c r="B237" s="17"/>
      <c r="C237" s="17" t="s">
        <v>149</v>
      </c>
      <c r="D237" s="17"/>
      <c r="E237" s="17"/>
      <c r="F237" s="17"/>
      <c r="G237" s="17"/>
      <c r="H237" s="17"/>
      <c r="I237" s="17"/>
      <c r="J237" s="17"/>
      <c r="K237" s="17"/>
      <c r="L237" s="17"/>
      <c r="N237" s="17" t="s">
        <v>149</v>
      </c>
      <c r="O237" s="17"/>
      <c r="P237" s="17"/>
      <c r="Q237" s="20"/>
      <c r="R237" s="17"/>
      <c r="S237" s="20"/>
      <c r="T237" s="20"/>
    </row>
    <row r="238" spans="2:20" ht="15.75" hidden="1" outlineLevel="1" x14ac:dyDescent="0.3">
      <c r="B238" s="302"/>
      <c r="C238" s="17"/>
      <c r="D238" s="17" t="s">
        <v>32</v>
      </c>
      <c r="E238" s="17"/>
      <c r="F238" s="44">
        <f>F223*IF(NOT(ISBLANK('Eingabe EF'!$AS9)),'Eingabe EF'!$AS9,'Eingabe EF'!$AQ9)</f>
        <v>6.5937599999999996</v>
      </c>
      <c r="G238" s="44">
        <f>F223*IF(NOT(ISBLANK('Eingabe EF'!$AW9)),'Eingabe EF'!$AW9,'Eingabe EF'!$AU9)</f>
        <v>0</v>
      </c>
      <c r="H238" s="44">
        <f>F223*IF(NOT(ISBLANK('Eingabe EF'!$BA9)),'Eingabe EF'!$BA9,'Eingabe EF'!$AY9)</f>
        <v>1.1286</v>
      </c>
      <c r="I238" s="17"/>
      <c r="J238" s="38">
        <f t="shared" ref="J238:J239" si="48">F238+G238</f>
        <v>6.5937599999999996</v>
      </c>
      <c r="K238" s="38">
        <f t="shared" ref="K238:K239" si="49">SUM(F238:H238)</f>
        <v>7.7223600000000001</v>
      </c>
      <c r="L238" s="17" t="s">
        <v>199</v>
      </c>
      <c r="N238" s="302"/>
      <c r="O238" s="17" t="s">
        <v>32</v>
      </c>
      <c r="P238" s="17"/>
      <c r="Q238" s="20"/>
      <c r="R238" s="17"/>
      <c r="S238" s="42">
        <f>F223/1000*IF(NOT(ISBLANK('Eingabe Preise'!$O10)),'Eingabe Preise'!$O10,'Eingabe Preise'!$M10)</f>
        <v>2196</v>
      </c>
      <c r="T238" s="20" t="s">
        <v>109</v>
      </c>
    </row>
    <row r="239" spans="2:20" ht="15.75" hidden="1" outlineLevel="1" x14ac:dyDescent="0.3">
      <c r="B239" s="302"/>
      <c r="C239" s="17"/>
      <c r="D239" s="17" t="s">
        <v>33</v>
      </c>
      <c r="E239" s="17"/>
      <c r="F239" s="44">
        <f>F224*IF(NOT(ISBLANK('Eingabe EF'!$AS10)),'Eingabe EF'!$AS10,'Eingabe EF'!$AQ10)</f>
        <v>2.13408</v>
      </c>
      <c r="G239" s="44">
        <f>F224*IF(NOT(ISBLANK('Eingabe EF'!$AW10)),'Eingabe EF'!$AW10,'Eingabe EF'!$AU10)</f>
        <v>0</v>
      </c>
      <c r="H239" s="44">
        <f>F224*IF(NOT(ISBLANK('Eingabe EF'!$BA10)),'Eingabe EF'!$BA10,'Eingabe EF'!$AY10)</f>
        <v>0.316608</v>
      </c>
      <c r="I239" s="17"/>
      <c r="J239" s="38">
        <f t="shared" si="48"/>
        <v>2.13408</v>
      </c>
      <c r="K239" s="38">
        <f t="shared" si="49"/>
        <v>2.450688</v>
      </c>
      <c r="L239" s="17" t="s">
        <v>199</v>
      </c>
      <c r="N239" s="302"/>
      <c r="O239" s="17" t="s">
        <v>33</v>
      </c>
      <c r="P239" s="17"/>
      <c r="Q239" s="20"/>
      <c r="R239" s="17"/>
      <c r="S239" s="42">
        <f>F224/1000*IF(NOT(ISBLANK('Eingabe Preise'!$O11)),'Eingabe Preise'!$O11,'Eingabe Preise'!$M11)</f>
        <v>368</v>
      </c>
      <c r="T239" s="20" t="s">
        <v>109</v>
      </c>
    </row>
    <row r="240" spans="2:20" hidden="1" outlineLevel="1" x14ac:dyDescent="0.2">
      <c r="B240" s="17"/>
      <c r="C240" s="17" t="s">
        <v>150</v>
      </c>
      <c r="D240" s="17"/>
      <c r="E240" s="17"/>
      <c r="F240" s="17"/>
      <c r="G240" s="17"/>
      <c r="H240" s="17"/>
      <c r="I240" s="17"/>
      <c r="J240" s="17"/>
      <c r="K240" s="17"/>
      <c r="L240" s="17"/>
      <c r="N240" s="17" t="s">
        <v>150</v>
      </c>
      <c r="O240" s="17"/>
      <c r="P240" s="17"/>
      <c r="Q240" s="20"/>
      <c r="R240" s="17"/>
      <c r="S240" s="20"/>
      <c r="T240" s="20"/>
    </row>
    <row r="241" spans="2:20" ht="15.75" hidden="1" outlineLevel="1" x14ac:dyDescent="0.3">
      <c r="B241" s="302"/>
      <c r="C241" s="17"/>
      <c r="D241" s="17" t="s">
        <v>152</v>
      </c>
      <c r="E241" s="17"/>
      <c r="F241" s="44">
        <f>F225*IF(NOT(ISBLANK('Eingabe EF'!$AS11)),'Eingabe EF'!$AS11,'Eingabe EF'!$AQ11)</f>
        <v>0</v>
      </c>
      <c r="G241" s="44">
        <f>F225*IF(NOT(ISBLANK('Eingabe EF'!$AW11)),'Eingabe EF'!$AW11,'Eingabe EF'!$AU11)</f>
        <v>77.96656947174003</v>
      </c>
      <c r="H241" s="44">
        <f>F225*IF(NOT(ISBLANK('Eingabe EF'!$BA11)),'Eingabe EF'!$BA11,'Eingabe EF'!$AY11)</f>
        <v>11.429654163396444</v>
      </c>
      <c r="I241" s="17"/>
      <c r="J241" s="38">
        <f t="shared" ref="J241:J249" si="50">F241+G241</f>
        <v>77.96656947174003</v>
      </c>
      <c r="K241" s="38">
        <f t="shared" ref="K241:K249" si="51">SUM(F241:H241)</f>
        <v>89.396223635136479</v>
      </c>
      <c r="L241" s="17" t="s">
        <v>199</v>
      </c>
      <c r="N241" s="302"/>
      <c r="O241" s="17" t="s">
        <v>152</v>
      </c>
      <c r="P241" s="17"/>
      <c r="Q241" s="20"/>
      <c r="R241" s="17"/>
      <c r="S241" s="42">
        <f>F225/1000*IF(NOT(ISBLANK('Eingabe Preise'!$O12)),'Eingabe Preise'!$O12,'Eingabe Preise'!$M12)</f>
        <v>98040</v>
      </c>
      <c r="T241" s="20" t="s">
        <v>109</v>
      </c>
    </row>
    <row r="242" spans="2:20" ht="15.75" hidden="1" outlineLevel="1" x14ac:dyDescent="0.3">
      <c r="B242" s="302"/>
      <c r="C242" s="17"/>
      <c r="D242" s="17" t="s">
        <v>125</v>
      </c>
      <c r="E242" s="17"/>
      <c r="F242" s="44">
        <f>F226*IF(NOT(ISBLANK('Eingabe EF'!$AS13)),'Eingabe EF'!$AS13,'Eingabe EF'!$AQ13)</f>
        <v>0</v>
      </c>
      <c r="G242" s="44">
        <f>F226*IF(NOT(ISBLANK('Eingabe EF'!$AW13)),'Eingabe EF'!$AW13,'Eingabe EF'!$AU13)</f>
        <v>0</v>
      </c>
      <c r="H242" s="44">
        <f>F226*IF(NOT(ISBLANK('Eingabe EF'!$BA13)),'Eingabe EF'!$BA13,'Eingabe EF'!$AY13)</f>
        <v>0</v>
      </c>
      <c r="I242" s="17"/>
      <c r="J242" s="38">
        <f t="shared" si="50"/>
        <v>0</v>
      </c>
      <c r="K242" s="38">
        <f t="shared" si="51"/>
        <v>0</v>
      </c>
      <c r="L242" s="17" t="s">
        <v>199</v>
      </c>
      <c r="N242" s="302"/>
      <c r="O242" s="17" t="s">
        <v>125</v>
      </c>
      <c r="P242" s="17"/>
      <c r="Q242" s="20"/>
      <c r="R242" s="17"/>
      <c r="S242" s="42">
        <f>F226/1000*IF(NOT(ISBLANK('Eingabe Preise'!$O13)),'Eingabe Preise'!$O13,'Eingabe Preise'!$M13)</f>
        <v>0</v>
      </c>
      <c r="T242" s="20" t="s">
        <v>109</v>
      </c>
    </row>
    <row r="243" spans="2:20" ht="15.75" hidden="1" outlineLevel="1" x14ac:dyDescent="0.3">
      <c r="B243" s="302"/>
      <c r="C243" s="17"/>
      <c r="D243" s="17" t="s">
        <v>151</v>
      </c>
      <c r="E243" s="17"/>
      <c r="F243" s="44">
        <f>F227*IF(NOT(ISBLANK('Eingabe EF'!$AS14)),'Eingabe EF'!$AS14,0)</f>
        <v>0</v>
      </c>
      <c r="G243" s="44">
        <f>F227*IF(NOT(ISBLANK('Eingabe EF'!$AW14)),'Eingabe EF'!$AW14,0)</f>
        <v>0</v>
      </c>
      <c r="H243" s="44">
        <f>F227*IF(NOT(ISBLANK('Eingabe EF'!$BA14)),'Eingabe EF'!$BA14,0)</f>
        <v>0</v>
      </c>
      <c r="I243" s="17"/>
      <c r="J243" s="38">
        <f t="shared" si="50"/>
        <v>0</v>
      </c>
      <c r="K243" s="38">
        <f t="shared" si="51"/>
        <v>0</v>
      </c>
      <c r="L243" s="17" t="s">
        <v>199</v>
      </c>
      <c r="N243" s="302"/>
      <c r="O243" s="17" t="s">
        <v>151</v>
      </c>
      <c r="P243" s="17"/>
      <c r="Q243" s="30"/>
      <c r="R243" s="17"/>
      <c r="S243" s="42">
        <f>F227/1000*IF(NOT(ISBLANK('Eingabe Preise'!$O17)),'Eingabe Preise'!$O17,0)</f>
        <v>0</v>
      </c>
      <c r="T243" s="20" t="s">
        <v>109</v>
      </c>
    </row>
    <row r="244" spans="2:20" hidden="1" outlineLevel="1" x14ac:dyDescent="0.2">
      <c r="B244" s="17"/>
      <c r="C244" s="17"/>
      <c r="D244" s="17"/>
      <c r="E244" s="17"/>
      <c r="F244" s="17"/>
      <c r="G244" s="17"/>
      <c r="H244" s="17"/>
      <c r="I244" s="17"/>
      <c r="J244" s="17"/>
      <c r="K244" s="17"/>
      <c r="L244" s="17"/>
      <c r="N244" s="17"/>
      <c r="O244" s="17"/>
      <c r="P244" s="17"/>
      <c r="Q244" s="30"/>
      <c r="R244" s="17"/>
      <c r="S244" s="17"/>
      <c r="T244" s="17"/>
    </row>
    <row r="245" spans="2:20" ht="15.75" hidden="1" outlineLevel="1" x14ac:dyDescent="0.3">
      <c r="B245" s="17"/>
      <c r="C245" s="17" t="s">
        <v>78</v>
      </c>
      <c r="D245" s="17" t="s">
        <v>35</v>
      </c>
      <c r="E245" s="17"/>
      <c r="F245" s="44">
        <f>IF(NOT(ISBLANK('Referenz Pflasterwerk'!$I28)),'Referenz Pflasterwerk'!$I28,'Referenz Pflasterwerk'!$F28)*IF(NOT(ISBLANK('Eingabe EF'!$AS15)),'Eingabe EF'!$AS15,'Eingabe EF'!$AQ15)</f>
        <v>85.058737919999984</v>
      </c>
      <c r="G245" s="44">
        <f>IF(NOT(ISBLANK('Referenz Pflasterwerk'!$I28)),'Referenz Pflasterwerk'!$I28,'Referenz Pflasterwerk'!$F28)*IF(NOT(ISBLANK('Eingabe EF'!$AW15)),'Eingabe EF'!$AW15,'Eingabe EF'!$AU15)</f>
        <v>0</v>
      </c>
      <c r="H245" s="44">
        <f>IF(NOT(ISBLANK('Referenz Pflasterwerk'!$I28)),'Referenz Pflasterwerk'!$I28,'Referenz Pflasterwerk'!$F28)*IF(NOT(ISBLANK('Eingabe EF'!$BA15)),'Eingabe EF'!$BA15,'Eingabe EF'!$AY15)</f>
        <v>15.027966720000002</v>
      </c>
      <c r="I245" s="17"/>
      <c r="J245" s="38">
        <f t="shared" ref="J245:J247" si="52">F245+G245</f>
        <v>85.058737919999984</v>
      </c>
      <c r="K245" s="38">
        <f t="shared" ref="K245:K247" si="53">SUM(F245:H245)</f>
        <v>100.08670463999999</v>
      </c>
      <c r="L245" s="17" t="s">
        <v>199</v>
      </c>
      <c r="N245" s="17"/>
      <c r="O245" s="17" t="s">
        <v>35</v>
      </c>
      <c r="P245" s="17" t="s">
        <v>78</v>
      </c>
      <c r="Q245" s="30"/>
      <c r="R245" s="17"/>
      <c r="S245" s="42">
        <f>IF(NOT(ISBLANK('Referenz Pflasterwerk'!$I28)),'Referenz Pflasterwerk'!$I28,'Referenz Pflasterwerk'!$F28)*IF(NOT(ISBLANK('Eingabe Preise'!$O14)),'Eingabe Preise'!$O14,'Eingabe Preise'!$M14)</f>
        <v>35968</v>
      </c>
      <c r="T245" s="20" t="s">
        <v>109</v>
      </c>
    </row>
    <row r="246" spans="2:20" ht="15.75" hidden="1" outlineLevel="1" x14ac:dyDescent="0.3">
      <c r="B246" s="17"/>
      <c r="C246" s="17" t="s">
        <v>77</v>
      </c>
      <c r="D246" s="17" t="s">
        <v>35</v>
      </c>
      <c r="E246" s="17"/>
      <c r="F246" s="44">
        <f>IF(NOT(ISBLANK('Referenz Pflasterwerk'!$I29)),'Referenz Pflasterwerk'!$I29,'Referenz Pflasterwerk'!$F29)*IF(NOT(ISBLANK('Eingabe EF'!$AS15)),'Eingabe EF'!$AS15,'Eingabe EF'!$AQ15)</f>
        <v>10.632342239999998</v>
      </c>
      <c r="G246" s="44">
        <f>IF(NOT(ISBLANK('Referenz Pflasterwerk'!$I29)),'Referenz Pflasterwerk'!$I29,'Referenz Pflasterwerk'!$F29)*IF(NOT(ISBLANK('Eingabe EF'!$AW15)),'Eingabe EF'!$AW15,'Eingabe EF'!$AU15)</f>
        <v>0</v>
      </c>
      <c r="H246" s="44">
        <f>IF(NOT(ISBLANK('Referenz Pflasterwerk'!$I29)),'Referenz Pflasterwerk'!$I29,'Referenz Pflasterwerk'!$F29)*IF(NOT(ISBLANK('Eingabe EF'!$BA15)),'Eingabe EF'!$BA15,'Eingabe EF'!$AY15)</f>
        <v>1.8784958400000002</v>
      </c>
      <c r="I246" s="17"/>
      <c r="J246" s="38">
        <f t="shared" si="52"/>
        <v>10.632342239999998</v>
      </c>
      <c r="K246" s="38">
        <f t="shared" si="53"/>
        <v>12.510838079999999</v>
      </c>
      <c r="L246" s="17" t="s">
        <v>199</v>
      </c>
      <c r="N246" s="17"/>
      <c r="O246" s="17" t="s">
        <v>35</v>
      </c>
      <c r="P246" s="17" t="s">
        <v>77</v>
      </c>
      <c r="Q246" s="30"/>
      <c r="R246" s="17"/>
      <c r="S246" s="42">
        <f>IF(NOT(ISBLANK('Referenz Pflasterwerk'!$I29)),'Referenz Pflasterwerk'!$I29,'Referenz Pflasterwerk'!$F29)*IF(NOT(ISBLANK('Eingabe Preise'!$O14)),'Eingabe Preise'!$O14,'Eingabe Preise'!$M14)</f>
        <v>4496</v>
      </c>
      <c r="T246" s="20" t="s">
        <v>109</v>
      </c>
    </row>
    <row r="247" spans="2:20" ht="14.25" hidden="1" outlineLevel="1" x14ac:dyDescent="0.25">
      <c r="B247" s="69"/>
      <c r="C247" s="69" t="s">
        <v>190</v>
      </c>
      <c r="D247" s="69"/>
      <c r="E247" s="69"/>
      <c r="F247" s="71">
        <f>F248+F249</f>
        <v>0</v>
      </c>
      <c r="G247" s="71">
        <f t="shared" ref="G247:H247" si="54">G248+G249</f>
        <v>0</v>
      </c>
      <c r="H247" s="71">
        <f t="shared" si="54"/>
        <v>578.62626120000004</v>
      </c>
      <c r="I247" s="69"/>
      <c r="J247" s="71">
        <f t="shared" si="52"/>
        <v>0</v>
      </c>
      <c r="K247" s="71">
        <f t="shared" si="53"/>
        <v>578.62626120000004</v>
      </c>
      <c r="L247" s="76" t="s">
        <v>198</v>
      </c>
      <c r="N247" s="17"/>
      <c r="O247" s="17"/>
      <c r="P247" s="17"/>
      <c r="Q247" s="30"/>
      <c r="R247" s="17"/>
      <c r="S247" s="17"/>
      <c r="T247" s="17"/>
    </row>
    <row r="248" spans="2:20" ht="15.75" hidden="1" outlineLevel="1" x14ac:dyDescent="0.3">
      <c r="B248" s="17"/>
      <c r="C248" s="17"/>
      <c r="D248" s="17" t="s">
        <v>46</v>
      </c>
      <c r="E248" s="17"/>
      <c r="F248" s="44">
        <f>IF(NOT(ISBLANK('Referenz Pflasterwerk'!$I32)),'Referenz Pflasterwerk'!$I32,'Referenz Pflasterwerk'!$F32)*IF(NOT(ISBLANK('Eingabe EF'!$AS17)),'Eingabe EF'!$AS17,'Eingabe EF'!$AQ17)</f>
        <v>0</v>
      </c>
      <c r="G248" s="44">
        <f>IF(NOT(ISBLANK('Referenz Pflasterwerk'!$I32)),'Referenz Pflasterwerk'!$I32,'Referenz Pflasterwerk'!$F32)*IF(NOT(ISBLANK('Eingabe EF'!$AW17)),'Eingabe EF'!$AW17,'Eingabe EF'!$AU17)</f>
        <v>0</v>
      </c>
      <c r="H248" s="44">
        <f>IF(NOT(ISBLANK('Referenz Pflasterwerk'!$I32)),'Referenz Pflasterwerk'!$I32,'Referenz Pflasterwerk'!$F32)*IF(NOT(ISBLANK('Eingabe EF'!$BA17)),'Eingabe EF'!$BA17,'Eingabe EF'!$AY17)</f>
        <v>250.21676159999998</v>
      </c>
      <c r="I248" s="17"/>
      <c r="J248" s="38">
        <f t="shared" si="50"/>
        <v>0</v>
      </c>
      <c r="K248" s="38">
        <f t="shared" si="51"/>
        <v>250.21676159999998</v>
      </c>
      <c r="L248" s="17" t="s">
        <v>199</v>
      </c>
      <c r="N248" s="17"/>
      <c r="O248" s="17"/>
      <c r="P248" s="17"/>
      <c r="Q248" s="30"/>
      <c r="R248" s="17"/>
      <c r="S248" s="17"/>
      <c r="T248" s="17"/>
    </row>
    <row r="249" spans="2:20" ht="15.75" hidden="1" outlineLevel="1" x14ac:dyDescent="0.3">
      <c r="B249" s="17"/>
      <c r="C249" s="17"/>
      <c r="D249" s="17" t="s">
        <v>47</v>
      </c>
      <c r="E249" s="17"/>
      <c r="F249" s="44">
        <f>IF(NOT(ISBLANK('Referenz Pflasterwerk'!$I33)),'Referenz Pflasterwerk'!$I33,'Referenz Pflasterwerk'!$F33)*IF(NOT(ISBLANK('Eingabe EF'!$AS18)),'Eingabe EF'!$AS18,'Eingabe EF'!$AQ18)</f>
        <v>0</v>
      </c>
      <c r="G249" s="44">
        <f>IF(NOT(ISBLANK('Referenz Pflasterwerk'!$I33)),'Referenz Pflasterwerk'!$I33,'Referenz Pflasterwerk'!$F33)*IF(NOT(ISBLANK('Eingabe EF'!$AW18)),'Eingabe EF'!$AW18,'Eingabe EF'!$AU18)</f>
        <v>0</v>
      </c>
      <c r="H249" s="44">
        <f>IF(NOT(ISBLANK('Referenz Pflasterwerk'!$I33)),'Referenz Pflasterwerk'!$I33,'Referenz Pflasterwerk'!$F33)*IF(NOT(ISBLANK('Eingabe EF'!$BA18)),'Eingabe EF'!$BA18,'Eingabe EF'!$AY18)</f>
        <v>328.4094996</v>
      </c>
      <c r="I249" s="17"/>
      <c r="J249" s="38">
        <f t="shared" si="50"/>
        <v>0</v>
      </c>
      <c r="K249" s="38">
        <f t="shared" si="51"/>
        <v>328.4094996</v>
      </c>
      <c r="L249" s="17" t="s">
        <v>199</v>
      </c>
      <c r="N249" s="17"/>
      <c r="O249" s="17" t="s">
        <v>31</v>
      </c>
      <c r="P249" s="17"/>
      <c r="Q249" s="30"/>
      <c r="R249" s="17"/>
      <c r="S249" s="42">
        <f>S261+S262</f>
        <v>1800</v>
      </c>
      <c r="T249" s="20" t="s">
        <v>109</v>
      </c>
    </row>
    <row r="250" spans="2:20" hidden="1" outlineLevel="1" x14ac:dyDescent="0.2">
      <c r="B250" s="17"/>
      <c r="C250" s="17"/>
      <c r="D250" s="17"/>
      <c r="E250" s="17"/>
      <c r="F250" s="20"/>
      <c r="G250" s="20"/>
      <c r="H250" s="20"/>
      <c r="I250" s="17"/>
      <c r="J250" s="20"/>
      <c r="K250" s="20"/>
      <c r="L250" s="17"/>
      <c r="N250" s="17"/>
      <c r="O250" s="45" t="s">
        <v>155</v>
      </c>
      <c r="P250" s="17"/>
      <c r="Q250" s="30"/>
      <c r="R250" s="17"/>
      <c r="S250" s="42">
        <f>IF(NOT(ISBLANK($K$25)),$K$25,$I$25)</f>
        <v>0</v>
      </c>
      <c r="T250" s="20" t="s">
        <v>109</v>
      </c>
    </row>
    <row r="251" spans="2:20" ht="14.25" hidden="1" outlineLevel="1" x14ac:dyDescent="0.25">
      <c r="B251" s="69"/>
      <c r="C251" s="69" t="s">
        <v>69</v>
      </c>
      <c r="D251" s="70"/>
      <c r="E251" s="70"/>
      <c r="F251" s="71">
        <f>SUM(F252:F255)</f>
        <v>0</v>
      </c>
      <c r="G251" s="71">
        <f t="shared" ref="G251" si="55">SUM(G252:G255)</f>
        <v>0</v>
      </c>
      <c r="H251" s="71">
        <f>SUM(H252:H255)</f>
        <v>7683.24</v>
      </c>
      <c r="I251" s="70"/>
      <c r="J251" s="71">
        <f t="shared" ref="J251:J255" si="56">F251+G251</f>
        <v>0</v>
      </c>
      <c r="K251" s="71">
        <f t="shared" ref="K251" si="57">SUM(F251:H251)</f>
        <v>7683.24</v>
      </c>
      <c r="L251" s="76" t="s">
        <v>198</v>
      </c>
      <c r="N251" s="17"/>
      <c r="O251" s="45" t="s">
        <v>162</v>
      </c>
      <c r="P251" s="17"/>
      <c r="Q251" s="30"/>
      <c r="R251" s="17"/>
      <c r="S251" s="42">
        <f>S264+S265</f>
        <v>0</v>
      </c>
      <c r="T251" s="20" t="s">
        <v>109</v>
      </c>
    </row>
    <row r="252" spans="2:20" ht="15.75" hidden="1" outlineLevel="1" x14ac:dyDescent="0.3">
      <c r="B252" s="17"/>
      <c r="C252" s="17"/>
      <c r="D252" s="17" t="s">
        <v>48</v>
      </c>
      <c r="E252" s="17"/>
      <c r="F252" s="38">
        <f>IF(NOT(ISBLANK('Referenz Pflasterwerk'!$I36)),'Referenz Pflasterwerk'!$I36,'Referenz Pflasterwerk'!$F36)*IF(NOT(ISBLANK('Eingabe EF'!$AS21)),'Eingabe EF'!$AS21,'Eingabe EF'!$AQ21)*IF(NOT(ISBLANK('Referenz Pflasterwerk'!$I$12)),'Referenz Pflasterwerk'!$I$12,'Referenz Pflasterwerk'!$F$12)</f>
        <v>0</v>
      </c>
      <c r="G252" s="38">
        <f>IF(NOT(ISBLANK('Referenz Pflasterwerk'!$I36)),'Referenz Pflasterwerk'!$I36,'Referenz Pflasterwerk'!$F36)*IF(NOT(ISBLANK('Eingabe EF'!$AW21)),'Eingabe EF'!$AW21,'Eingabe EF'!$AU21)*IF(NOT(ISBLANK('Referenz Pflasterwerk'!$I$12)),'Referenz Pflasterwerk'!$I$12,'Referenz Pflasterwerk'!$F$12)</f>
        <v>0</v>
      </c>
      <c r="H252" s="38">
        <f>IF(NOT(ISBLANK('Referenz Pflasterwerk'!$I36)),'Referenz Pflasterwerk'!$I36,'Referenz Pflasterwerk'!$F36)*IF(NOT(ISBLANK('Eingabe EF'!$BA21)),'Eingabe EF'!$BA21,'Eingabe EF'!$AY21)*IF(NOT(ISBLANK('Referenz Pflasterwerk'!$I$12)),'Referenz Pflasterwerk'!$I$12,'Referenz Pflasterwerk'!$F$12)</f>
        <v>2144.625</v>
      </c>
      <c r="I252" s="17"/>
      <c r="J252" s="38">
        <f t="shared" si="56"/>
        <v>0</v>
      </c>
      <c r="K252" s="38">
        <f t="shared" ref="K252:K255" si="58">SUM(F252:H252)</f>
        <v>2144.625</v>
      </c>
      <c r="L252" s="17" t="s">
        <v>199</v>
      </c>
      <c r="N252" s="17"/>
      <c r="O252" s="17"/>
      <c r="P252" s="17"/>
      <c r="Q252" s="17"/>
      <c r="R252" s="17"/>
      <c r="S252" s="17"/>
      <c r="T252" s="17"/>
    </row>
    <row r="253" spans="2:20" ht="15.75" hidden="1" outlineLevel="1" x14ac:dyDescent="0.3">
      <c r="B253" s="17"/>
      <c r="C253" s="17"/>
      <c r="D253" s="17" t="s">
        <v>50</v>
      </c>
      <c r="E253" s="17"/>
      <c r="F253" s="38">
        <f>IF(NOT(ISBLANK('Referenz Pflasterwerk'!$I37)),'Referenz Pflasterwerk'!$I37,'Referenz Pflasterwerk'!$F37)*IF(NOT(ISBLANK('Eingabe EF'!$AS22)),'Eingabe EF'!$AS22,'Eingabe EF'!$AQ22)*IF(NOT(ISBLANK('Referenz Pflasterwerk'!$I$12)),'Referenz Pflasterwerk'!$I$12,'Referenz Pflasterwerk'!$F$12)</f>
        <v>0</v>
      </c>
      <c r="G253" s="38">
        <f>IF(NOT(ISBLANK('Referenz Pflasterwerk'!$I37)),'Referenz Pflasterwerk'!$I37,'Referenz Pflasterwerk'!$F37)*IF(NOT(ISBLANK('Eingabe EF'!$AW22)),'Eingabe EF'!$AW22,'Eingabe EF'!$AU22)*IF(NOT(ISBLANK('Referenz Pflasterwerk'!$I$12)),'Referenz Pflasterwerk'!$I$12,'Referenz Pflasterwerk'!$F$12)</f>
        <v>0</v>
      </c>
      <c r="H253" s="38">
        <f>IF(NOT(ISBLANK('Referenz Pflasterwerk'!$I37)),'Referenz Pflasterwerk'!$I37,'Referenz Pflasterwerk'!$F37)*IF(NOT(ISBLANK('Eingabe EF'!$BA22)),'Eingabe EF'!$BA22,'Eingabe EF'!$AY22)*IF(NOT(ISBLANK('Referenz Pflasterwerk'!$I$12)),'Referenz Pflasterwerk'!$I$12,'Referenz Pflasterwerk'!$F$12)</f>
        <v>4993.59</v>
      </c>
      <c r="I253" s="17"/>
      <c r="J253" s="38">
        <f t="shared" si="56"/>
        <v>0</v>
      </c>
      <c r="K253" s="38">
        <f t="shared" si="58"/>
        <v>4993.59</v>
      </c>
      <c r="L253" s="17" t="s">
        <v>199</v>
      </c>
      <c r="N253" s="17"/>
      <c r="O253" s="17"/>
      <c r="P253" s="17"/>
      <c r="Q253" s="17"/>
      <c r="R253" s="17"/>
      <c r="S253" s="17"/>
      <c r="T253" s="17"/>
    </row>
    <row r="254" spans="2:20" ht="15.75" hidden="1" outlineLevel="1" x14ac:dyDescent="0.3">
      <c r="B254" s="17"/>
      <c r="C254" s="17"/>
      <c r="D254" s="17" t="s">
        <v>51</v>
      </c>
      <c r="E254" s="17"/>
      <c r="F254" s="38">
        <f>IF(NOT(ISBLANK('Referenz Pflasterwerk'!$I38)),'Referenz Pflasterwerk'!$I38,'Referenz Pflasterwerk'!$F38)*IF(NOT(ISBLANK('Eingabe EF'!$AS23)),'Eingabe EF'!$AS23,'Eingabe EF'!$AQ23)*IF(NOT(ISBLANK('Referenz Pflasterwerk'!$I$12)),'Referenz Pflasterwerk'!$I$12,'Referenz Pflasterwerk'!$F$12)</f>
        <v>0</v>
      </c>
      <c r="G254" s="38">
        <f>IF(NOT(ISBLANK('Referenz Pflasterwerk'!$I38)),'Referenz Pflasterwerk'!$I38,'Referenz Pflasterwerk'!$F38)*IF(NOT(ISBLANK('Eingabe EF'!$AW23)),'Eingabe EF'!$AW23,'Eingabe EF'!$AU23)*IF(NOT(ISBLANK('Referenz Pflasterwerk'!$I$12)),'Referenz Pflasterwerk'!$I$12,'Referenz Pflasterwerk'!$F$12)</f>
        <v>0</v>
      </c>
      <c r="H254" s="38">
        <f>IF(NOT(ISBLANK('Referenz Pflasterwerk'!$I38)),'Referenz Pflasterwerk'!$I38,'Referenz Pflasterwerk'!$F38)*IF(NOT(ISBLANK('Eingabe EF'!$BA23)),'Eingabe EF'!$BA23,'Eingabe EF'!$AY23)*IF(NOT(ISBLANK('Referenz Pflasterwerk'!$I$12)),'Referenz Pflasterwerk'!$I$12,'Referenz Pflasterwerk'!$F$12)</f>
        <v>545.02499999999998</v>
      </c>
      <c r="I254" s="17"/>
      <c r="J254" s="38">
        <f t="shared" si="56"/>
        <v>0</v>
      </c>
      <c r="K254" s="38">
        <f t="shared" si="58"/>
        <v>545.02499999999998</v>
      </c>
      <c r="L254" s="17" t="s">
        <v>199</v>
      </c>
      <c r="N254" s="17"/>
      <c r="O254" s="17" t="s">
        <v>201</v>
      </c>
      <c r="P254" s="17"/>
      <c r="Q254" s="30"/>
      <c r="R254" s="17"/>
      <c r="S254" s="42">
        <f>F290*IF(NOT(ISBLANK('Eingabe Preise'!$O21)),'Eingabe Preise'!$O21,'Eingabe Preise'!$M21)</f>
        <v>8528.0704127999998</v>
      </c>
      <c r="T254" s="20" t="s">
        <v>109</v>
      </c>
    </row>
    <row r="255" spans="2:20" ht="15.75" hidden="1" outlineLevel="1" x14ac:dyDescent="0.3">
      <c r="B255" s="17"/>
      <c r="C255" s="17"/>
      <c r="D255" s="17" t="s">
        <v>163</v>
      </c>
      <c r="E255" s="17"/>
      <c r="F255" s="38">
        <f>IF(NOT(ISBLANK('Referenz Pflasterwerk'!$I39)),'Referenz Pflasterwerk'!$I39,'Referenz Pflasterwerk'!$F39)*IF(NOT(ISBLANK('Eingabe EF'!$AS24)),'Eingabe EF'!$AS24,0)*IF(NOT(ISBLANK('Referenz Pflasterwerk'!$I$12)),'Referenz Pflasterwerk'!$I$12,'Referenz Pflasterwerk'!$F$12)</f>
        <v>0</v>
      </c>
      <c r="G255" s="38">
        <f>IF(NOT(ISBLANK('Referenz Pflasterwerk'!$I39)),'Referenz Pflasterwerk'!$I39,'Referenz Pflasterwerk'!$F39)*IF(NOT(ISBLANK('Eingabe EF'!$AW24)),'Eingabe EF'!$AW24,0)*IF(NOT(ISBLANK('Referenz Pflasterwerk'!$I$12)),'Referenz Pflasterwerk'!$I$12,'Referenz Pflasterwerk'!$F$12)</f>
        <v>0</v>
      </c>
      <c r="H255" s="38">
        <f>IF(NOT(ISBLANK('Referenz Pflasterwerk'!$I39)),'Referenz Pflasterwerk'!$I39,'Referenz Pflasterwerk'!$F39)*IF(NOT(ISBLANK('Eingabe EF'!$BA24)),'Eingabe EF'!$BA24,0)*IF(NOT(ISBLANK('Referenz Pflasterwerk'!$I$12)),'Referenz Pflasterwerk'!$I$12,'Referenz Pflasterwerk'!$F$12)</f>
        <v>0</v>
      </c>
      <c r="I255" s="17"/>
      <c r="J255" s="38">
        <f t="shared" si="56"/>
        <v>0</v>
      </c>
      <c r="K255" s="38">
        <f t="shared" si="58"/>
        <v>0</v>
      </c>
      <c r="L255" s="17" t="s">
        <v>199</v>
      </c>
      <c r="N255" s="17"/>
      <c r="O255" s="17" t="s">
        <v>202</v>
      </c>
      <c r="P255" s="17"/>
      <c r="Q255" s="30"/>
      <c r="R255" s="17"/>
      <c r="S255" s="42">
        <f>G290*IF(NOT(ISBLANK('Eingabe Preise'!$O22)),'Eingabe Preise'!$O22,'Eingabe Preise'!$M22)</f>
        <v>7878.7270203021508</v>
      </c>
      <c r="T255" s="20" t="s">
        <v>109</v>
      </c>
    </row>
    <row r="256" spans="2:20" ht="15.75" hidden="1" outlineLevel="1" x14ac:dyDescent="0.3">
      <c r="B256" s="17"/>
      <c r="C256" s="17"/>
      <c r="D256" s="17"/>
      <c r="E256" s="17"/>
      <c r="F256" s="17"/>
      <c r="G256" s="17"/>
      <c r="H256" s="17"/>
      <c r="I256" s="17"/>
      <c r="J256" s="20"/>
      <c r="K256" s="20"/>
      <c r="L256" s="17"/>
      <c r="N256" s="17"/>
      <c r="O256" s="17" t="s">
        <v>203</v>
      </c>
      <c r="P256" s="17"/>
      <c r="Q256" s="30"/>
      <c r="R256" s="17"/>
      <c r="S256" s="42">
        <f>H290*IF(NOT(ISBLANK('Eingabe Preise'!$O23)),'Eingabe Preise'!$O23,'Eingabe Preise'!$M23)</f>
        <v>839444.8334670004</v>
      </c>
      <c r="T256" s="20" t="s">
        <v>109</v>
      </c>
    </row>
    <row r="257" spans="2:20" ht="14.25" hidden="1" outlineLevel="1" x14ac:dyDescent="0.25">
      <c r="B257" s="69"/>
      <c r="C257" s="69" t="s">
        <v>178</v>
      </c>
      <c r="D257" s="70"/>
      <c r="E257" s="70"/>
      <c r="F257" s="71">
        <f>SUM(F258:F260)</f>
        <v>0</v>
      </c>
      <c r="G257" s="71">
        <f t="shared" ref="G257:H257" si="59">SUM(G258:G260)</f>
        <v>0</v>
      </c>
      <c r="H257" s="71">
        <f t="shared" si="59"/>
        <v>387.03000000000003</v>
      </c>
      <c r="I257" s="70"/>
      <c r="J257" s="71">
        <f t="shared" ref="J257" si="60">F257+G257</f>
        <v>0</v>
      </c>
      <c r="K257" s="71">
        <f t="shared" ref="K257" si="61">SUM(F257:H257)</f>
        <v>387.03000000000003</v>
      </c>
      <c r="L257" s="76" t="s">
        <v>198</v>
      </c>
      <c r="N257" s="17"/>
      <c r="O257" s="17"/>
      <c r="P257" s="17"/>
      <c r="Q257" s="17"/>
      <c r="R257" s="17"/>
      <c r="S257" s="17"/>
      <c r="T257" s="17"/>
    </row>
    <row r="258" spans="2:20" ht="15.75" hidden="1" outlineLevel="1" x14ac:dyDescent="0.3">
      <c r="B258" s="17"/>
      <c r="C258" s="17"/>
      <c r="D258" s="17" t="s">
        <v>179</v>
      </c>
      <c r="E258" s="17"/>
      <c r="F258" s="38">
        <f>IF(NOT(ISBLANK('Referenz Pflasterwerk'!$I42)),'Referenz Pflasterwerk'!$I42,'Referenz Pflasterwerk'!$F42)*IF(NOT(ISBLANK('Eingabe EF'!$AS27)),'Eingabe EF'!$AS27,'Eingabe EF'!$AQ27)*IF(NOT(ISBLANK('Referenz Pflasterwerk'!$I$12)),'Referenz Pflasterwerk'!$I$12,'Referenz Pflasterwerk'!$F$12)</f>
        <v>0</v>
      </c>
      <c r="G258" s="38">
        <f>IF(NOT(ISBLANK('Referenz Pflasterwerk'!$I42)),'Referenz Pflasterwerk'!$I42,'Referenz Pflasterwerk'!$F42)*IF(NOT(ISBLANK('Eingabe EF'!$AW27)),'Eingabe EF'!$AW27,'Eingabe EF'!$AU27)*IF(NOT(ISBLANK('Referenz Pflasterwerk'!$I$12)),'Referenz Pflasterwerk'!$I$12,'Referenz Pflasterwerk'!$F$12)</f>
        <v>0</v>
      </c>
      <c r="H258" s="38">
        <f>IF(NOT(ISBLANK('Referenz Pflasterwerk'!$I42)),'Referenz Pflasterwerk'!$I42,'Referenz Pflasterwerk'!$F42)*IF(NOT(ISBLANK('Eingabe EF'!$BA27)),'Eingabe EF'!$BA27,'Eingabe EF'!$AY27)*IF(NOT(ISBLANK('Referenz Pflasterwerk'!$I$12)),'Referenz Pflasterwerk'!$I$12,'Referenz Pflasterwerk'!$F$12)</f>
        <v>387.03000000000003</v>
      </c>
      <c r="I258" s="17"/>
      <c r="J258" s="38">
        <f>F258+G258</f>
        <v>0</v>
      </c>
      <c r="K258" s="38">
        <f>SUM(F258:H258)</f>
        <v>387.03000000000003</v>
      </c>
      <c r="L258" s="17" t="s">
        <v>199</v>
      </c>
      <c r="N258" s="17"/>
      <c r="O258" s="17"/>
      <c r="P258" s="17"/>
      <c r="Q258" s="17"/>
      <c r="R258" s="17"/>
      <c r="S258" s="17"/>
      <c r="T258" s="17"/>
    </row>
    <row r="259" spans="2:20" ht="15.75" hidden="1" outlineLevel="1" x14ac:dyDescent="0.3">
      <c r="B259" s="17"/>
      <c r="C259" s="17"/>
      <c r="D259" s="17" t="s">
        <v>180</v>
      </c>
      <c r="E259" s="17"/>
      <c r="F259" s="38">
        <f>IF(NOT(ISBLANK('Referenz Pflasterwerk'!$I43)),'Referenz Pflasterwerk'!$I43,'Referenz Pflasterwerk'!$F43)*IF(NOT(ISBLANK('Eingabe EF'!$AS28)),'Eingabe EF'!$AS28,0)*IF(NOT(ISBLANK('Referenz Pflasterwerk'!$I$12)),'Referenz Pflasterwerk'!$I$12,'Referenz Pflasterwerk'!$F$12)</f>
        <v>0</v>
      </c>
      <c r="G259" s="38">
        <f>IF(NOT(ISBLANK('Referenz Pflasterwerk'!$I43)),'Referenz Pflasterwerk'!$I43,'Referenz Pflasterwerk'!$F43)*IF(NOT(ISBLANK('Eingabe EF'!$AW28)),'Eingabe EF'!$AW28,0)*IF(NOT(ISBLANK('Referenz Pflasterwerk'!$I$12)),'Referenz Pflasterwerk'!$I$12,'Referenz Pflasterwerk'!$F$12)</f>
        <v>0</v>
      </c>
      <c r="H259" s="38">
        <f>IF(NOT(ISBLANK('Referenz Pflasterwerk'!$I43)),'Referenz Pflasterwerk'!$I43,'Referenz Pflasterwerk'!$F43)*IF(NOT(ISBLANK('Eingabe EF'!$BA28)),'Eingabe EF'!$BA28,0)*IF(NOT(ISBLANK('Referenz Pflasterwerk'!$I$12)),'Referenz Pflasterwerk'!$I$12,'Referenz Pflasterwerk'!$F$12)</f>
        <v>0</v>
      </c>
      <c r="I259" s="17"/>
      <c r="J259" s="38">
        <f>F259+G259</f>
        <v>0</v>
      </c>
      <c r="K259" s="38">
        <f t="shared" ref="K259:K260" si="62">SUM(F259:H259)</f>
        <v>0</v>
      </c>
      <c r="L259" s="17" t="s">
        <v>199</v>
      </c>
      <c r="N259" s="17"/>
      <c r="O259" s="17"/>
      <c r="P259" s="17"/>
      <c r="Q259" s="18"/>
      <c r="R259" s="17"/>
      <c r="S259" s="18"/>
      <c r="T259" s="18"/>
    </row>
    <row r="260" spans="2:20" ht="15.75" hidden="1" outlineLevel="1" x14ac:dyDescent="0.3">
      <c r="B260" s="17"/>
      <c r="C260" s="17"/>
      <c r="D260" s="17" t="s">
        <v>181</v>
      </c>
      <c r="E260" s="17"/>
      <c r="F260" s="38">
        <f>IF(NOT(ISBLANK('Referenz Pflasterwerk'!$I44)),'Referenz Pflasterwerk'!$I44,'Referenz Pflasterwerk'!$F44)*IF(NOT(ISBLANK('Eingabe EF'!$AS29)),'Eingabe EF'!$AS29,0)*IF(NOT(ISBLANK('Referenz Pflasterwerk'!$I$12)),'Referenz Pflasterwerk'!$I$12,'Referenz Pflasterwerk'!$F$12)</f>
        <v>0</v>
      </c>
      <c r="G260" s="38">
        <f>IF(NOT(ISBLANK('Referenz Pflasterwerk'!$I44)),'Referenz Pflasterwerk'!$I44,'Referenz Pflasterwerk'!$F44)*IF(NOT(ISBLANK('Eingabe EF'!$AW29)),'Eingabe EF'!$AW29,0)*IF(NOT(ISBLANK('Referenz Pflasterwerk'!$I$12)),'Referenz Pflasterwerk'!$I$12,'Referenz Pflasterwerk'!$F$12)</f>
        <v>0</v>
      </c>
      <c r="H260" s="38">
        <f>IF(NOT(ISBLANK('Referenz Pflasterwerk'!$I44)),'Referenz Pflasterwerk'!$I44,'Referenz Pflasterwerk'!$F44)*IF(NOT(ISBLANK('Eingabe EF'!$BA29)),'Eingabe EF'!$BA29,0)*IF(NOT(ISBLANK('Referenz Pflasterwerk'!$I$12)),'Referenz Pflasterwerk'!$I$12,'Referenz Pflasterwerk'!$F$12)</f>
        <v>0</v>
      </c>
      <c r="I260" s="17"/>
      <c r="J260" s="38">
        <f t="shared" ref="J260" si="63">F260+G260</f>
        <v>0</v>
      </c>
      <c r="K260" s="38">
        <f t="shared" si="62"/>
        <v>0</v>
      </c>
      <c r="L260" s="17" t="s">
        <v>199</v>
      </c>
      <c r="N260" s="21" t="s">
        <v>224</v>
      </c>
      <c r="O260" s="17"/>
      <c r="P260" s="17"/>
      <c r="Q260" s="17"/>
      <c r="R260" s="17"/>
      <c r="S260" s="17"/>
      <c r="T260" s="17"/>
    </row>
    <row r="261" spans="2:20" hidden="1" outlineLevel="1" x14ac:dyDescent="0.2">
      <c r="B261" s="17"/>
      <c r="C261" s="17"/>
      <c r="D261" s="17"/>
      <c r="E261" s="17"/>
      <c r="F261" s="17"/>
      <c r="G261" s="17"/>
      <c r="H261" s="17"/>
      <c r="I261" s="17"/>
      <c r="J261" s="20"/>
      <c r="K261" s="20"/>
      <c r="L261" s="17"/>
      <c r="N261" s="17"/>
      <c r="O261" s="17" t="s">
        <v>225</v>
      </c>
      <c r="P261" s="17"/>
      <c r="Q261" s="18"/>
      <c r="R261" s="17"/>
      <c r="S261" s="42">
        <f>IF(IF(NOT(ISBLANK($G$29)),$G$29,$E$29)&gt;5,S173,0)</f>
        <v>1800</v>
      </c>
      <c r="T261" s="20" t="s">
        <v>109</v>
      </c>
    </row>
    <row r="262" spans="2:20" ht="14.25" hidden="1" outlineLevel="1" x14ac:dyDescent="0.25">
      <c r="B262" s="17"/>
      <c r="C262" s="17"/>
      <c r="D262" s="21" t="s">
        <v>58</v>
      </c>
      <c r="E262" s="21"/>
      <c r="F262" s="74">
        <f>IF(NOT(ISBLANK('Referenz Pflasterwerk'!$I46)),'Referenz Pflasterwerk'!$I46,'Referenz Pflasterwerk'!$F46)*IF(NOT(ISBLANK('Eingabe EF'!$AS31)),'Eingabe EF'!$AS31,'Eingabe EF'!$AQ31)*IF(NOT(ISBLANK('Referenz Pflasterwerk'!$I$12)),'Referenz Pflasterwerk'!$I$12,'Referenz Pflasterwerk'!$F$12)</f>
        <v>0</v>
      </c>
      <c r="G262" s="74">
        <f>IF(NOT(ISBLANK('Referenz Pflasterwerk'!$I46)),'Referenz Pflasterwerk'!$I46,'Referenz Pflasterwerk'!$F46)*IF(NOT(ISBLANK('Eingabe EF'!$AW31)),'Eingabe EF'!$AW31,'Eingabe EF'!$AU31)*IF(NOT(ISBLANK('Referenz Pflasterwerk'!$I$12)),'Referenz Pflasterwerk'!$I$12,'Referenz Pflasterwerk'!$F$12)</f>
        <v>0</v>
      </c>
      <c r="H262" s="74">
        <f>IF(NOT(ISBLANK('Referenz Pflasterwerk'!$I46)),'Referenz Pflasterwerk'!$I46,'Referenz Pflasterwerk'!$F46)*IF(NOT(ISBLANK('Eingabe EF'!$BA31)),'Eingabe EF'!$BA31,'Eingabe EF'!$AY31)*IF(NOT(ISBLANK('Referenz Pflasterwerk'!$I$12)),'Referenz Pflasterwerk'!$I$12,'Referenz Pflasterwerk'!$F$12)</f>
        <v>1040</v>
      </c>
      <c r="I262" s="21"/>
      <c r="J262" s="74">
        <f>F262+G262</f>
        <v>0</v>
      </c>
      <c r="K262" s="74">
        <f t="shared" ref="K262" si="64">SUM(F262:H262)</f>
        <v>1040</v>
      </c>
      <c r="L262" s="21" t="s">
        <v>198</v>
      </c>
      <c r="N262" s="17"/>
      <c r="O262" s="17" t="s">
        <v>226</v>
      </c>
      <c r="P262" s="17"/>
      <c r="Q262" s="17"/>
      <c r="R262" s="17"/>
      <c r="S262" s="42">
        <f>IF(NOT(ISBLANK($K$24)),$K$24,$I$24)/IF(NOT(ISBLANK($K$29)),$K$29,$I$29)+IF(NOT(ISBLANK($K$24)),$K$24,$I$24)*(IF(NOT(ISBLANK($K$30)),$K$30,$I$30)/100)</f>
        <v>0</v>
      </c>
      <c r="T262" s="20" t="s">
        <v>109</v>
      </c>
    </row>
    <row r="263" spans="2:20" hidden="1" outlineLevel="1" x14ac:dyDescent="0.2">
      <c r="B263" s="17"/>
      <c r="C263" s="17"/>
      <c r="D263" s="17"/>
      <c r="E263" s="17"/>
      <c r="F263" s="17"/>
      <c r="G263" s="17"/>
      <c r="H263" s="17"/>
      <c r="I263" s="17"/>
      <c r="J263" s="20"/>
      <c r="K263" s="20"/>
      <c r="L263" s="17"/>
      <c r="N263" s="17"/>
      <c r="O263" s="17"/>
      <c r="P263" s="17"/>
      <c r="Q263" s="18"/>
      <c r="R263" s="17"/>
      <c r="S263" s="18"/>
      <c r="T263" s="18"/>
    </row>
    <row r="264" spans="2:20" ht="14.25" hidden="1" outlineLevel="1" x14ac:dyDescent="0.25">
      <c r="B264" s="69"/>
      <c r="C264" s="69" t="s">
        <v>182</v>
      </c>
      <c r="D264" s="70"/>
      <c r="E264" s="70"/>
      <c r="F264" s="71">
        <f>SUM(F265:F267)</f>
        <v>0</v>
      </c>
      <c r="G264" s="71">
        <f t="shared" ref="G264:H264" si="65">SUM(G265:G267)</f>
        <v>0</v>
      </c>
      <c r="H264" s="71">
        <f t="shared" si="65"/>
        <v>424.19999999999993</v>
      </c>
      <c r="I264" s="70"/>
      <c r="J264" s="71">
        <f t="shared" ref="J264" si="66">F264+G264</f>
        <v>0</v>
      </c>
      <c r="K264" s="71">
        <f t="shared" ref="K264" si="67">SUM(F264:H264)</f>
        <v>424.19999999999993</v>
      </c>
      <c r="L264" s="76" t="s">
        <v>198</v>
      </c>
      <c r="N264" s="17"/>
      <c r="O264" s="17" t="s">
        <v>228</v>
      </c>
      <c r="P264" s="17"/>
      <c r="Q264" s="17"/>
      <c r="R264" s="17"/>
      <c r="S264" s="42">
        <f>IF(IF(NOT(ISBLANK($G$29)),$G$29,$E$29)&gt;5,S175,0)</f>
        <v>0</v>
      </c>
      <c r="T264" s="20" t="s">
        <v>109</v>
      </c>
    </row>
    <row r="265" spans="2:20" ht="15.75" hidden="1" outlineLevel="1" x14ac:dyDescent="0.3">
      <c r="B265" s="17"/>
      <c r="C265" s="17"/>
      <c r="D265" s="17" t="s">
        <v>60</v>
      </c>
      <c r="E265" s="17"/>
      <c r="F265" s="38">
        <f>IF(NOT(ISBLANK('Referenz Pflasterwerk'!$I49)),'Referenz Pflasterwerk'!$I49,'Referenz Pflasterwerk'!$F49)*IF(NOT(ISBLANK('Eingabe EF'!$AS34)),'Eingabe EF'!$AS34,'Eingabe EF'!$AQ34)*IF(NOT(ISBLANK('Referenz Pflasterwerk'!$I$12)),'Referenz Pflasterwerk'!$I$12,'Referenz Pflasterwerk'!$F$12)</f>
        <v>0</v>
      </c>
      <c r="G265" s="38">
        <f>IF(NOT(ISBLANK('Referenz Pflasterwerk'!$I49)),'Referenz Pflasterwerk'!$I49,'Referenz Pflasterwerk'!$F49)*IF(NOT(ISBLANK('Eingabe EF'!$AW34)),'Eingabe EF'!$AW34,'Eingabe EF'!$AU34)*IF(NOT(ISBLANK('Referenz Pflasterwerk'!$I$12)),'Referenz Pflasterwerk'!$I$12,'Referenz Pflasterwerk'!$F$12)</f>
        <v>0</v>
      </c>
      <c r="H265" s="38">
        <f>IF(NOT(ISBLANK('Referenz Pflasterwerk'!$I49)),'Referenz Pflasterwerk'!$I49,'Referenz Pflasterwerk'!$F49)*IF(NOT(ISBLANK('Eingabe EF'!$BA34)),'Eingabe EF'!$BA34,'Eingabe EF'!$AY34)*IF(NOT(ISBLANK('Referenz Pflasterwerk'!$I$12)),'Referenz Pflasterwerk'!$I$12,'Referenz Pflasterwerk'!$F$12)</f>
        <v>356.4</v>
      </c>
      <c r="I265" s="17"/>
      <c r="J265" s="38">
        <f>F265+G265</f>
        <v>0</v>
      </c>
      <c r="K265" s="38">
        <f>SUM(F265:H265)</f>
        <v>356.4</v>
      </c>
      <c r="L265" s="17" t="s">
        <v>199</v>
      </c>
      <c r="N265" s="17"/>
      <c r="O265" s="17" t="s">
        <v>229</v>
      </c>
      <c r="P265" s="17"/>
      <c r="Q265" s="18"/>
      <c r="R265" s="17"/>
      <c r="S265" s="42">
        <f>IF(NOT(ISBLANK($K$26)),$K$26,$I$26)/IF(NOT(ISBLANK($K$29)),$K$29,$I$29)+IF(NOT(ISBLANK($K$26)),$K$26,$I$26)*(IF(NOT(ISBLANK($K$30)),$K$30,$I$30)/100)</f>
        <v>0</v>
      </c>
      <c r="T265" s="20" t="s">
        <v>109</v>
      </c>
    </row>
    <row r="266" spans="2:20" ht="15.75" hidden="1" outlineLevel="1" x14ac:dyDescent="0.3">
      <c r="B266" s="17"/>
      <c r="C266" s="17"/>
      <c r="D266" s="17" t="s">
        <v>61</v>
      </c>
      <c r="E266" s="17"/>
      <c r="F266" s="38">
        <f>IF(NOT(ISBLANK('Referenz Pflasterwerk'!$I50)),'Referenz Pflasterwerk'!$I50,'Referenz Pflasterwerk'!$F50)*IF(NOT(ISBLANK('Eingabe EF'!$AS35)),'Eingabe EF'!$AS35,'Eingabe EF'!$AQ35)*IF(NOT(ISBLANK('Referenz Pflasterwerk'!$I$12)),'Referenz Pflasterwerk'!$I$12,'Referenz Pflasterwerk'!$F$12)</f>
        <v>0</v>
      </c>
      <c r="G266" s="38">
        <f>IF(NOT(ISBLANK('Referenz Pflasterwerk'!$I50)),'Referenz Pflasterwerk'!$I50,'Referenz Pflasterwerk'!$F50)*IF(NOT(ISBLANK('Eingabe EF'!$AW35)),'Eingabe EF'!$AW35,'Eingabe EF'!$AU35)*IF(NOT(ISBLANK('Referenz Pflasterwerk'!$I$12)),'Referenz Pflasterwerk'!$I$12,'Referenz Pflasterwerk'!$F$12)</f>
        <v>0</v>
      </c>
      <c r="H266" s="38">
        <f>IF(NOT(ISBLANK('Referenz Pflasterwerk'!$I50)),'Referenz Pflasterwerk'!$I50,'Referenz Pflasterwerk'!$F50)*IF(NOT(ISBLANK('Eingabe EF'!$BA35)),'Eingabe EF'!$BA35,'Eingabe EF'!$AY35)*IF(NOT(ISBLANK('Referenz Pflasterwerk'!$I$12)),'Referenz Pflasterwerk'!$I$12,'Referenz Pflasterwerk'!$F$12)</f>
        <v>0</v>
      </c>
      <c r="I266" s="17"/>
      <c r="J266" s="38">
        <f>F266+G266</f>
        <v>0</v>
      </c>
      <c r="K266" s="38">
        <f>SUM(F266:H266)</f>
        <v>0</v>
      </c>
      <c r="L266" s="17" t="s">
        <v>199</v>
      </c>
      <c r="N266" s="17"/>
      <c r="O266" s="17"/>
      <c r="P266" s="17"/>
      <c r="Q266" s="18"/>
      <c r="R266" s="17"/>
      <c r="S266" s="18"/>
      <c r="T266" s="18"/>
    </row>
    <row r="267" spans="2:20" ht="15.75" hidden="1" outlineLevel="1" x14ac:dyDescent="0.3">
      <c r="B267" s="17"/>
      <c r="C267" s="17"/>
      <c r="D267" s="17" t="s">
        <v>62</v>
      </c>
      <c r="E267" s="17"/>
      <c r="F267" s="38">
        <f>IF(NOT(ISBLANK('Referenz Pflasterwerk'!$I51)),'Referenz Pflasterwerk'!$I51,'Referenz Pflasterwerk'!$F51)*IF(NOT(ISBLANK('Eingabe EF'!$AS36)),'Eingabe EF'!$AS36,'Eingabe EF'!$AQ36)*IF(NOT(ISBLANK('Referenz Pflasterwerk'!$I$12)),'Referenz Pflasterwerk'!$I$12,'Referenz Pflasterwerk'!$F$12)</f>
        <v>0</v>
      </c>
      <c r="G267" s="38">
        <f>IF(NOT(ISBLANK('Referenz Pflasterwerk'!$I51)),'Referenz Pflasterwerk'!$I51,'Referenz Pflasterwerk'!$F51)*IF(NOT(ISBLANK('Eingabe EF'!$AW36)),'Eingabe EF'!$AW36,'Eingabe EF'!$AU36)*IF(NOT(ISBLANK('Referenz Pflasterwerk'!$I$12)),'Referenz Pflasterwerk'!$I$12,'Referenz Pflasterwerk'!$F$12)</f>
        <v>0</v>
      </c>
      <c r="H267" s="38">
        <f>IF(NOT(ISBLANK('Referenz Pflasterwerk'!$I51)),'Referenz Pflasterwerk'!$I51,'Referenz Pflasterwerk'!$F51)*IF(NOT(ISBLANK('Eingabe EF'!$BA36)),'Eingabe EF'!$BA36,'Eingabe EF'!$AY36)*IF(NOT(ISBLANK('Referenz Pflasterwerk'!$I$12)),'Referenz Pflasterwerk'!$I$12,'Referenz Pflasterwerk'!$F$12)</f>
        <v>67.799999999999983</v>
      </c>
      <c r="I267" s="17"/>
      <c r="J267" s="38">
        <f>F267+G267</f>
        <v>0</v>
      </c>
      <c r="K267" s="38">
        <f>SUM(F267:H267)</f>
        <v>67.799999999999983</v>
      </c>
      <c r="L267" s="17" t="s">
        <v>199</v>
      </c>
      <c r="N267" s="17"/>
      <c r="O267" s="17"/>
      <c r="P267" s="17"/>
      <c r="Q267" s="17"/>
      <c r="R267" s="17"/>
      <c r="S267" s="17"/>
      <c r="T267" s="17"/>
    </row>
    <row r="268" spans="2:20" hidden="1" outlineLevel="1" x14ac:dyDescent="0.2">
      <c r="B268" s="17"/>
      <c r="C268" s="17"/>
      <c r="D268" s="17"/>
      <c r="E268" s="17"/>
      <c r="F268" s="17"/>
      <c r="G268" s="17"/>
      <c r="H268" s="17"/>
      <c r="I268" s="17"/>
      <c r="J268" s="17"/>
      <c r="K268" s="20"/>
      <c r="L268" s="20"/>
      <c r="N268" s="17"/>
      <c r="O268" s="17"/>
      <c r="P268" s="17"/>
      <c r="Q268" s="18"/>
      <c r="R268" s="17"/>
      <c r="S268" s="18"/>
      <c r="T268" s="18"/>
    </row>
    <row r="269" spans="2:20" ht="14.25" hidden="1" outlineLevel="1" x14ac:dyDescent="0.25">
      <c r="B269" s="69"/>
      <c r="C269" s="69" t="s">
        <v>52</v>
      </c>
      <c r="D269" s="70"/>
      <c r="E269" s="70"/>
      <c r="F269" s="71">
        <f>SUM(F270:F273)</f>
        <v>0</v>
      </c>
      <c r="G269" s="71">
        <f t="shared" ref="G269:H269" si="68">SUM(G270:G273)</f>
        <v>0</v>
      </c>
      <c r="H269" s="71">
        <f t="shared" si="68"/>
        <v>185.55932668689491</v>
      </c>
      <c r="I269" s="70"/>
      <c r="J269" s="71">
        <f t="shared" ref="J269:J273" si="69">F269+G269</f>
        <v>0</v>
      </c>
      <c r="K269" s="71">
        <f t="shared" ref="K269" si="70">SUM(F269:H269)</f>
        <v>185.55932668689491</v>
      </c>
      <c r="L269" s="76" t="s">
        <v>198</v>
      </c>
    </row>
    <row r="270" spans="2:20" ht="15.75" hidden="1" outlineLevel="1" x14ac:dyDescent="0.3">
      <c r="B270" s="17"/>
      <c r="C270" s="17"/>
      <c r="D270" s="17" t="s">
        <v>53</v>
      </c>
      <c r="E270" s="17"/>
      <c r="F270" s="38">
        <f>IF(NOT(ISBLANK('Referenz Pflasterwerk'!$I$53)),'Referenz Pflasterwerk'!$I$53,'Referenz Pflasterwerk'!$F$53)*IF(NOT(ISBLANK('Referenz Pflasterwerk'!$I54)),'Referenz Pflasterwerk'!$I54,'Referenz Pflasterwerk'!$F54)*IF(NOT(ISBLANK('Eingabe EF'!$AS39)),'Eingabe EF'!$AS39,'Eingabe EF'!$AQ39)*IF(NOT(ISBLANK('Referenz Pflasterwerk'!$I$12)),'Referenz Pflasterwerk'!$I$12,'Referenz Pflasterwerk'!$F$12)</f>
        <v>0</v>
      </c>
      <c r="G270" s="38">
        <f>IF(NOT(ISBLANK('Referenz Pflasterwerk'!$I$53)),'Referenz Pflasterwerk'!$I$53,'Referenz Pflasterwerk'!$F$53)*IF(NOT(ISBLANK('Referenz Pflasterwerk'!$I54)),'Referenz Pflasterwerk'!$I54,'Referenz Pflasterwerk'!$F54)*IF(NOT(ISBLANK('Eingabe EF'!$AW39)),'Eingabe EF'!$AW39,'Eingabe EF'!$AU39)*IF(NOT(ISBLANK('Referenz Pflasterwerk'!$I$12)),'Referenz Pflasterwerk'!$I$12,'Referenz Pflasterwerk'!$F$12)</f>
        <v>0</v>
      </c>
      <c r="H270" s="38">
        <f>IF(NOT(ISBLANK('Referenz Pflasterwerk'!$I$53)),'Referenz Pflasterwerk'!$I$53,'Referenz Pflasterwerk'!$F$53)*IF(NOT(ISBLANK('Referenz Pflasterwerk'!$I54)),'Referenz Pflasterwerk'!$I54,'Referenz Pflasterwerk'!$F54)*IF(NOT(ISBLANK('Eingabe EF'!$BA39)),'Eingabe EF'!$BA39,'Eingabe EF'!$AY39)*IF(NOT(ISBLANK('Referenz Pflasterwerk'!$I$12)),'Referenz Pflasterwerk'!$I$12,'Referenz Pflasterwerk'!$F$12)</f>
        <v>59.997399219765924</v>
      </c>
      <c r="I270" s="17"/>
      <c r="J270" s="38">
        <f t="shared" si="69"/>
        <v>0</v>
      </c>
      <c r="K270" s="38">
        <f t="shared" ref="K270:K273" si="71">SUM(F270:H270)</f>
        <v>59.997399219765924</v>
      </c>
      <c r="L270" s="17" t="s">
        <v>199</v>
      </c>
    </row>
    <row r="271" spans="2:20" ht="15.75" hidden="1" outlineLevel="1" x14ac:dyDescent="0.3">
      <c r="B271" s="17"/>
      <c r="C271" s="17"/>
      <c r="D271" s="17" t="s">
        <v>55</v>
      </c>
      <c r="E271" s="17"/>
      <c r="F271" s="38">
        <f>IF(NOT(ISBLANK('Referenz Pflasterwerk'!$I$53)),'Referenz Pflasterwerk'!$I$53,'Referenz Pflasterwerk'!$F$53)*IF(NOT(ISBLANK('Referenz Pflasterwerk'!$I55)),'Referenz Pflasterwerk'!$I55,'Referenz Pflasterwerk'!$F55)*IF(NOT(ISBLANK('Eingabe EF'!$AS40)),'Eingabe EF'!$AS40,'Eingabe EF'!$AQ40)*IF(NOT(ISBLANK('Referenz Pflasterwerk'!$I$12)),'Referenz Pflasterwerk'!$I$12,'Referenz Pflasterwerk'!$F$12)</f>
        <v>0</v>
      </c>
      <c r="G271" s="38">
        <f>IF(NOT(ISBLANK('Referenz Pflasterwerk'!$I$53)),'Referenz Pflasterwerk'!$I$53,'Referenz Pflasterwerk'!$F$53)*IF(NOT(ISBLANK('Referenz Pflasterwerk'!$I55)),'Referenz Pflasterwerk'!$I55,'Referenz Pflasterwerk'!$F55)*IF(NOT(ISBLANK('Eingabe EF'!$AW40)),'Eingabe EF'!$AW40,'Eingabe EF'!$AU40)*IF(NOT(ISBLANK('Referenz Pflasterwerk'!$I$12)),'Referenz Pflasterwerk'!$I$12,'Referenz Pflasterwerk'!$F$12)</f>
        <v>0</v>
      </c>
      <c r="H271" s="38">
        <f>IF(NOT(ISBLANK('Referenz Pflasterwerk'!$I$53)),'Referenz Pflasterwerk'!$I$53,'Referenz Pflasterwerk'!$F$53)*IF(NOT(ISBLANK('Referenz Pflasterwerk'!$I55)),'Referenz Pflasterwerk'!$I55,'Referenz Pflasterwerk'!$F55)*IF(NOT(ISBLANK('Eingabe EF'!$BA40)),'Eingabe EF'!$BA40,'Eingabe EF'!$AY40)*IF(NOT(ISBLANK('Referenz Pflasterwerk'!$I$12)),'Referenz Pflasterwerk'!$I$12,'Referenz Pflasterwerk'!$F$12)</f>
        <v>7.224692963444574</v>
      </c>
      <c r="I271" s="17"/>
      <c r="J271" s="38">
        <f t="shared" si="69"/>
        <v>0</v>
      </c>
      <c r="K271" s="38">
        <f t="shared" si="71"/>
        <v>7.224692963444574</v>
      </c>
      <c r="L271" s="17" t="s">
        <v>199</v>
      </c>
    </row>
    <row r="272" spans="2:20" ht="15.75" hidden="1" outlineLevel="1" x14ac:dyDescent="0.3">
      <c r="B272" s="17"/>
      <c r="C272" s="17"/>
      <c r="D272" s="17" t="s">
        <v>56</v>
      </c>
      <c r="E272" s="17"/>
      <c r="F272" s="38">
        <f>IF(NOT(ISBLANK('Referenz Pflasterwerk'!$I$53)),'Referenz Pflasterwerk'!$I$53,'Referenz Pflasterwerk'!$F$53)*IF(NOT(ISBLANK('Referenz Pflasterwerk'!$I56)),'Referenz Pflasterwerk'!$I56,'Referenz Pflasterwerk'!$F56)*IF(NOT(ISBLANK('Eingabe EF'!$AS41)),'Eingabe EF'!$AS41,'Eingabe EF'!$AQ41)*IF(NOT(ISBLANK('Referenz Pflasterwerk'!$I$12)),'Referenz Pflasterwerk'!$I$12,'Referenz Pflasterwerk'!$F$12)</f>
        <v>0</v>
      </c>
      <c r="G272" s="38">
        <f>IF(NOT(ISBLANK('Referenz Pflasterwerk'!$I$53)),'Referenz Pflasterwerk'!$I$53,'Referenz Pflasterwerk'!$F$53)*IF(NOT(ISBLANK('Referenz Pflasterwerk'!$I56)),'Referenz Pflasterwerk'!$I56,'Referenz Pflasterwerk'!$F56)*IF(NOT(ISBLANK('Eingabe EF'!$AW41)),'Eingabe EF'!$AW41,'Eingabe EF'!$AU41)*IF(NOT(ISBLANK('Referenz Pflasterwerk'!$I$12)),'Referenz Pflasterwerk'!$I$12,'Referenz Pflasterwerk'!$F$12)</f>
        <v>0</v>
      </c>
      <c r="H272" s="38">
        <f>IF(NOT(ISBLANK('Referenz Pflasterwerk'!$I$53)),'Referenz Pflasterwerk'!$I$53,'Referenz Pflasterwerk'!$F$53)*IF(NOT(ISBLANK('Referenz Pflasterwerk'!$I56)),'Referenz Pflasterwerk'!$I56,'Referenz Pflasterwerk'!$F56)*IF(NOT(ISBLANK('Eingabe EF'!$BA41)),'Eingabe EF'!$BA41,'Eingabe EF'!$AY41)*IF(NOT(ISBLANK('Referenz Pflasterwerk'!$I$12)),'Referenz Pflasterwerk'!$I$12,'Referenz Pflasterwerk'!$F$12)</f>
        <v>1.7771998266146515E-2</v>
      </c>
      <c r="I272" s="17"/>
      <c r="J272" s="38">
        <f t="shared" si="69"/>
        <v>0</v>
      </c>
      <c r="K272" s="38">
        <f t="shared" si="71"/>
        <v>1.7771998266146515E-2</v>
      </c>
      <c r="L272" s="17" t="s">
        <v>199</v>
      </c>
    </row>
    <row r="273" spans="2:12" ht="15.75" hidden="1" outlineLevel="1" x14ac:dyDescent="0.3">
      <c r="B273" s="17"/>
      <c r="C273" s="17"/>
      <c r="D273" s="17" t="s">
        <v>57</v>
      </c>
      <c r="E273" s="17"/>
      <c r="F273" s="38">
        <f>IF(NOT(ISBLANK('Referenz Pflasterwerk'!$I$53)),'Referenz Pflasterwerk'!$I$53,'Referenz Pflasterwerk'!$F$53)*IF(NOT(ISBLANK('Referenz Pflasterwerk'!$I57)),'Referenz Pflasterwerk'!$I57,'Referenz Pflasterwerk'!$F57)*IF(NOT(ISBLANK('Eingabe EF'!$AS42)),'Eingabe EF'!$AS42,'Eingabe EF'!$AQ42)*IF(NOT(ISBLANK('Referenz Pflasterwerk'!$I$12)),'Referenz Pflasterwerk'!$I$12,'Referenz Pflasterwerk'!$F$12)</f>
        <v>0</v>
      </c>
      <c r="G273" s="38">
        <f>IF(NOT(ISBLANK('Referenz Pflasterwerk'!$I$53)),'Referenz Pflasterwerk'!$I$53,'Referenz Pflasterwerk'!$F$53)*IF(NOT(ISBLANK('Referenz Pflasterwerk'!$I57)),'Referenz Pflasterwerk'!$I57,'Referenz Pflasterwerk'!$F57)*IF(NOT(ISBLANK('Eingabe EF'!$AW42)),'Eingabe EF'!$AW42,'Eingabe EF'!$AU42)*IF(NOT(ISBLANK('Referenz Pflasterwerk'!$I$12)),'Referenz Pflasterwerk'!$I$12,'Referenz Pflasterwerk'!$F$12)</f>
        <v>0</v>
      </c>
      <c r="H273" s="38">
        <f>IF(NOT(ISBLANK('Referenz Pflasterwerk'!$I$53)),'Referenz Pflasterwerk'!$I$53,'Referenz Pflasterwerk'!$F$53)*IF(NOT(ISBLANK('Referenz Pflasterwerk'!$I57)),'Referenz Pflasterwerk'!$I57,'Referenz Pflasterwerk'!$F57)*IF(NOT(ISBLANK('Eingabe EF'!$BA42)),'Eingabe EF'!$BA42,'Eingabe EF'!$AY42)*IF(NOT(ISBLANK('Referenz Pflasterwerk'!$I$12)),'Referenz Pflasterwerk'!$I$12,'Referenz Pflasterwerk'!$F$12)</f>
        <v>118.31946250541829</v>
      </c>
      <c r="I273" s="17"/>
      <c r="J273" s="38">
        <f t="shared" si="69"/>
        <v>0</v>
      </c>
      <c r="K273" s="38">
        <f t="shared" si="71"/>
        <v>118.31946250541829</v>
      </c>
      <c r="L273" s="17" t="s">
        <v>199</v>
      </c>
    </row>
    <row r="274" spans="2:12" hidden="1" outlineLevel="1" x14ac:dyDescent="0.2">
      <c r="B274" s="17"/>
      <c r="C274" s="17"/>
      <c r="D274" s="17"/>
      <c r="E274" s="17"/>
      <c r="F274" s="17"/>
      <c r="G274" s="17"/>
      <c r="H274" s="17"/>
      <c r="I274" s="17"/>
      <c r="J274" s="17"/>
      <c r="K274" s="17"/>
      <c r="L274" s="20"/>
    </row>
    <row r="275" spans="2:12" ht="14.25" hidden="1" outlineLevel="1" x14ac:dyDescent="0.25">
      <c r="B275" s="17"/>
      <c r="C275" s="17"/>
      <c r="D275" s="21" t="s">
        <v>113</v>
      </c>
      <c r="E275" s="21"/>
      <c r="F275" s="74">
        <f>IF(NOT(ISBLANK('Referenz Pflasterwerk'!$I59)),'Referenz Pflasterwerk'!$I59,'Referenz Pflasterwerk'!$F59)*IF(NOT(ISBLANK('Eingabe EF'!$AS44)),'Eingabe EF'!$AS44,0)*IF(NOT(ISBLANK('Referenz Pflasterwerk'!$I$12)),'Referenz Pflasterwerk'!$I$12,'Referenz Pflasterwerk'!$F$12)</f>
        <v>0</v>
      </c>
      <c r="G275" s="74">
        <f>IF(NOT(ISBLANK('Referenz Pflasterwerk'!$I59)),'Referenz Pflasterwerk'!$I59,'Referenz Pflasterwerk'!$F59)*IF(NOT(ISBLANK('Eingabe EF'!$AW44)),'Eingabe EF'!$AW44,0)*IF(NOT(ISBLANK('Referenz Pflasterwerk'!$I$12)),'Referenz Pflasterwerk'!$I$12,'Referenz Pflasterwerk'!$F$12)</f>
        <v>0</v>
      </c>
      <c r="H275" s="74">
        <f>IF(NOT(ISBLANK('Referenz Pflasterwerk'!$I59)),'Referenz Pflasterwerk'!$I59,'Referenz Pflasterwerk'!$F59)*IF(NOT(ISBLANK('Eingabe EF'!$BA44)),'Eingabe EF'!$BA44,0)*IF(NOT(ISBLANK('Referenz Pflasterwerk'!$I$12)),'Referenz Pflasterwerk'!$I$12,'Referenz Pflasterwerk'!$F$12)</f>
        <v>0</v>
      </c>
      <c r="I275" s="21"/>
      <c r="J275" s="74">
        <f>F275+G275</f>
        <v>0</v>
      </c>
      <c r="K275" s="74">
        <f>SUM(F275:H275)</f>
        <v>0</v>
      </c>
      <c r="L275" s="21" t="s">
        <v>198</v>
      </c>
    </row>
    <row r="276" spans="2:12" ht="14.25" hidden="1" outlineLevel="1" x14ac:dyDescent="0.25">
      <c r="B276" s="17"/>
      <c r="C276" s="17"/>
      <c r="D276" s="21" t="s">
        <v>65</v>
      </c>
      <c r="E276" s="21"/>
      <c r="F276" s="75">
        <f>IF(NOT(ISBLANK('Referenz Pflasterwerk'!$I60)),'Referenz Pflasterwerk'!$I60,'Referenz Pflasterwerk'!$F60)*IF(NOT(ISBLANK('Eingabe EF'!$AS45)),'Eingabe EF'!$AS45,'Eingabe EF'!$AQ45)</f>
        <v>0</v>
      </c>
      <c r="G276" s="75">
        <f>IF(NOT(ISBLANK('Referenz Pflasterwerk'!$I60)),'Referenz Pflasterwerk'!$I60,'Referenz Pflasterwerk'!$F60)*IF(NOT(ISBLANK('Eingabe EF'!$AW45)),'Eingabe EF'!$AW45,'Eingabe EF'!$AU45)</f>
        <v>0</v>
      </c>
      <c r="H276" s="75">
        <f>IF(NOT(ISBLANK('Referenz Pflasterwerk'!$I60)),'Referenz Pflasterwerk'!$I60,'Referenz Pflasterwerk'!$F60)*IF(NOT(ISBLANK('Eingabe EF'!$BA45)),'Eingabe EF'!$BA45,'Eingabe EF'!$AY45)</f>
        <v>5.4399999999999997E-2</v>
      </c>
      <c r="I276" s="21"/>
      <c r="J276" s="74">
        <f>F276+G276</f>
        <v>0</v>
      </c>
      <c r="K276" s="74">
        <f>SUM(F276:H276)</f>
        <v>5.4399999999999997E-2</v>
      </c>
      <c r="L276" s="21" t="s">
        <v>198</v>
      </c>
    </row>
    <row r="277" spans="2:12" hidden="1" outlineLevel="1" x14ac:dyDescent="0.2">
      <c r="B277" s="17"/>
      <c r="C277" s="17"/>
      <c r="D277" s="17"/>
      <c r="E277" s="17"/>
      <c r="F277" s="17"/>
      <c r="G277" s="17"/>
      <c r="H277" s="17"/>
      <c r="I277" s="17"/>
      <c r="J277" s="17"/>
      <c r="K277" s="17"/>
      <c r="L277" s="20"/>
    </row>
    <row r="278" spans="2:12" ht="14.25" hidden="1" outlineLevel="1" x14ac:dyDescent="0.25">
      <c r="B278" s="69"/>
      <c r="C278" s="69" t="s">
        <v>183</v>
      </c>
      <c r="D278" s="70"/>
      <c r="E278" s="70"/>
      <c r="F278" s="71">
        <f>SUM(F279:F281)</f>
        <v>0</v>
      </c>
      <c r="G278" s="71">
        <f t="shared" ref="G278:H278" si="72">SUM(G279:G281)</f>
        <v>0</v>
      </c>
      <c r="H278" s="71">
        <f t="shared" si="72"/>
        <v>0</v>
      </c>
      <c r="I278" s="70"/>
      <c r="J278" s="71">
        <f t="shared" ref="J278" si="73">F278+G278</f>
        <v>0</v>
      </c>
      <c r="K278" s="71">
        <f t="shared" ref="K278" si="74">SUM(F278:H278)</f>
        <v>0</v>
      </c>
      <c r="L278" s="76" t="s">
        <v>198</v>
      </c>
    </row>
    <row r="279" spans="2:12" ht="15.75" hidden="1" outlineLevel="1" x14ac:dyDescent="0.3">
      <c r="B279" s="17"/>
      <c r="C279" s="17"/>
      <c r="D279" s="17" t="s">
        <v>184</v>
      </c>
      <c r="E279" s="17"/>
      <c r="F279" s="38">
        <f>IF(NOT(ISBLANK('Referenz Pflasterwerk'!$I63)),'Referenz Pflasterwerk'!$I63,'Referenz Pflasterwerk'!$F63)*IF(NOT(ISBLANK('Eingabe EF'!$AS48)),'Eingabe EF'!$AS48,0)*IF(NOT(ISBLANK('Referenz Pflasterwerk'!$I$12)),'Referenz Pflasterwerk'!$I$12,'Referenz Pflasterwerk'!$F$12)</f>
        <v>0</v>
      </c>
      <c r="G279" s="38">
        <f>IF(NOT(ISBLANK('Referenz Pflasterwerk'!$I63)),'Referenz Pflasterwerk'!$I63,'Referenz Pflasterwerk'!$F63)*IF(NOT(ISBLANK('Eingabe EF'!$AW48)),'Eingabe EF'!$AW48,0)*IF(NOT(ISBLANK('Referenz Pflasterwerk'!$I$12)),'Referenz Pflasterwerk'!$I$12,'Referenz Pflasterwerk'!$F$12)</f>
        <v>0</v>
      </c>
      <c r="H279" s="38">
        <f>IF(NOT(ISBLANK('Referenz Pflasterwerk'!$I63)),'Referenz Pflasterwerk'!$I63,'Referenz Pflasterwerk'!$F63)*IF(NOT(ISBLANK('Eingabe EF'!$BA48)),'Eingabe EF'!$BA48,0)*IF(NOT(ISBLANK('Referenz Pflasterwerk'!$I$12)),'Referenz Pflasterwerk'!$I$12,'Referenz Pflasterwerk'!$F$12)</f>
        <v>0</v>
      </c>
      <c r="I279" s="17"/>
      <c r="J279" s="38">
        <f>F279+G279</f>
        <v>0</v>
      </c>
      <c r="K279" s="38">
        <f>SUM(F279:H279)</f>
        <v>0</v>
      </c>
      <c r="L279" s="17" t="s">
        <v>199</v>
      </c>
    </row>
    <row r="280" spans="2:12" ht="15.75" hidden="1" outlineLevel="1" x14ac:dyDescent="0.3">
      <c r="B280" s="17"/>
      <c r="C280" s="17"/>
      <c r="D280" s="17" t="s">
        <v>63</v>
      </c>
      <c r="E280" s="17"/>
      <c r="F280" s="38">
        <f>IF(NOT(ISBLANK('Referenz Pflasterwerk'!$I64)),'Referenz Pflasterwerk'!$I64,'Referenz Pflasterwerk'!$F64)*IF(NOT(ISBLANK('Eingabe EF'!$AS49)),'Eingabe EF'!$AS49,'Eingabe EF'!$AQ49)*IF(NOT(ISBLANK('Referenz Pflasterwerk'!$I$12)),'Referenz Pflasterwerk'!$I$12,'Referenz Pflasterwerk'!$F$12)</f>
        <v>0</v>
      </c>
      <c r="G280" s="38">
        <f>IF(NOT(ISBLANK('Referenz Pflasterwerk'!$I64)),'Referenz Pflasterwerk'!$I64,'Referenz Pflasterwerk'!$F64)*IF(NOT(ISBLANK('Eingabe EF'!$AW49)),'Eingabe EF'!$AW49,'Eingabe EF'!$AU49)*IF(NOT(ISBLANK('Referenz Pflasterwerk'!$I$12)),'Referenz Pflasterwerk'!$I$12,'Referenz Pflasterwerk'!$F$12)</f>
        <v>0</v>
      </c>
      <c r="H280" s="38">
        <f>IF(NOT(ISBLANK('Referenz Pflasterwerk'!$I64)),'Referenz Pflasterwerk'!$I64,'Referenz Pflasterwerk'!$F64)*IF(NOT(ISBLANK('Eingabe EF'!$BA49)),'Eingabe EF'!$BA49,'Eingabe EF'!$AY49)*IF(NOT(ISBLANK('Referenz Pflasterwerk'!$I$12)),'Referenz Pflasterwerk'!$I$12,'Referenz Pflasterwerk'!$F$12)</f>
        <v>0</v>
      </c>
      <c r="I280" s="17"/>
      <c r="J280" s="38">
        <f t="shared" ref="J280" si="75">F280+G280</f>
        <v>0</v>
      </c>
      <c r="K280" s="38">
        <f t="shared" ref="K280" si="76">SUM(F280:H280)</f>
        <v>0</v>
      </c>
      <c r="L280" s="17" t="s">
        <v>199</v>
      </c>
    </row>
    <row r="281" spans="2:12" ht="15.75" hidden="1" outlineLevel="1" x14ac:dyDescent="0.3">
      <c r="B281" s="17"/>
      <c r="C281" s="17"/>
      <c r="D281" s="17" t="s">
        <v>185</v>
      </c>
      <c r="E281" s="17"/>
      <c r="F281" s="38">
        <f>IF(NOT(ISBLANK('Referenz Pflasterwerk'!$I65)),'Referenz Pflasterwerk'!$I65,'Referenz Pflasterwerk'!$F65)*IF(NOT(ISBLANK('Eingabe EF'!$AS50)),'Eingabe EF'!$AS50,0)*IF(NOT(ISBLANK('Referenz Pflasterwerk'!$I$12)),'Referenz Pflasterwerk'!$I$12,'Referenz Pflasterwerk'!$F$12)</f>
        <v>0</v>
      </c>
      <c r="G281" s="38">
        <f>IF(NOT(ISBLANK('Referenz Pflasterwerk'!$I65)),'Referenz Pflasterwerk'!$I65,'Referenz Pflasterwerk'!$F65)*IF(NOT(ISBLANK('Eingabe EF'!$AW50)),'Eingabe EF'!$AW50,0)*IF(NOT(ISBLANK('Referenz Pflasterwerk'!$I$12)),'Referenz Pflasterwerk'!$I$12,'Referenz Pflasterwerk'!$F$12)</f>
        <v>0</v>
      </c>
      <c r="H281" s="38">
        <f>IF(NOT(ISBLANK('Referenz Pflasterwerk'!$I65)),'Referenz Pflasterwerk'!$I65,'Referenz Pflasterwerk'!$F65)*IF(NOT(ISBLANK('Eingabe EF'!$BA50)),'Eingabe EF'!$BA50,0)*IF(NOT(ISBLANK('Referenz Pflasterwerk'!$I$12)),'Referenz Pflasterwerk'!$I$12,'Referenz Pflasterwerk'!$F$12)</f>
        <v>0</v>
      </c>
      <c r="I281" s="17"/>
      <c r="J281" s="38">
        <f>F281+G281</f>
        <v>0</v>
      </c>
      <c r="K281" s="38">
        <f>SUM(F281:H281)</f>
        <v>0</v>
      </c>
      <c r="L281" s="17" t="s">
        <v>199</v>
      </c>
    </row>
    <row r="282" spans="2:12" hidden="1" outlineLevel="1" x14ac:dyDescent="0.2">
      <c r="B282" s="17"/>
      <c r="C282" s="17"/>
      <c r="D282" s="17"/>
      <c r="E282" s="17"/>
      <c r="F282" s="17"/>
      <c r="G282" s="17"/>
      <c r="H282" s="17"/>
      <c r="I282" s="17"/>
      <c r="J282" s="17"/>
      <c r="K282" s="17"/>
      <c r="L282" s="20"/>
    </row>
    <row r="283" spans="2:12" ht="14.25" hidden="1" outlineLevel="1" x14ac:dyDescent="0.25">
      <c r="B283" s="69"/>
      <c r="C283" s="69" t="s">
        <v>186</v>
      </c>
      <c r="D283" s="70"/>
      <c r="E283" s="70"/>
      <c r="F283" s="71">
        <f>SUM(F284:F286)</f>
        <v>0</v>
      </c>
      <c r="G283" s="71">
        <f t="shared" ref="G283:H283" si="77">SUM(G284:G286)</f>
        <v>0</v>
      </c>
      <c r="H283" s="71">
        <f t="shared" si="77"/>
        <v>0</v>
      </c>
      <c r="I283" s="70"/>
      <c r="J283" s="71">
        <f t="shared" ref="J283" si="78">F283+G283</f>
        <v>0</v>
      </c>
      <c r="K283" s="71">
        <f t="shared" ref="K283" si="79">SUM(F283:H283)</f>
        <v>0</v>
      </c>
      <c r="L283" s="76" t="s">
        <v>198</v>
      </c>
    </row>
    <row r="284" spans="2:12" ht="15.75" hidden="1" outlineLevel="1" x14ac:dyDescent="0.3">
      <c r="B284" s="17"/>
      <c r="C284" s="17"/>
      <c r="D284" s="17" t="s">
        <v>67</v>
      </c>
      <c r="E284" s="17"/>
      <c r="F284" s="44">
        <f>IF(NOT(ISBLANK('Referenz Pflasterwerk'!$I68)),'Referenz Pflasterwerk'!$I68,'Referenz Pflasterwerk'!$F68)*IF(NOT(ISBLANK('Eingabe EF'!$AS53)),'Eingabe EF'!$AS53,'Eingabe EF'!$AQ53)</f>
        <v>0</v>
      </c>
      <c r="G284" s="44">
        <f>IF(NOT(ISBLANK('Referenz Pflasterwerk'!$I68)),'Referenz Pflasterwerk'!$I68,'Referenz Pflasterwerk'!$F68)*IF(NOT(ISBLANK('Eingabe EF'!$AW53)),'Eingabe EF'!$AW53,'Eingabe EF'!$AU53)</f>
        <v>0</v>
      </c>
      <c r="H284" s="44">
        <f>IF(NOT(ISBLANK('Referenz Pflasterwerk'!$I68)),'Referenz Pflasterwerk'!$I68,'Referenz Pflasterwerk'!$F68)*IF(NOT(ISBLANK('Eingabe EF'!$BA53)),'Eingabe EF'!$BA53,'Eingabe EF'!$AY53)</f>
        <v>0</v>
      </c>
      <c r="I284" s="17"/>
      <c r="J284" s="38">
        <f>F284+G284</f>
        <v>0</v>
      </c>
      <c r="K284" s="38">
        <f>SUM(F284:H284)</f>
        <v>0</v>
      </c>
      <c r="L284" s="17" t="s">
        <v>199</v>
      </c>
    </row>
    <row r="285" spans="2:12" ht="15.75" hidden="1" outlineLevel="1" x14ac:dyDescent="0.3">
      <c r="B285" s="17"/>
      <c r="C285" s="17"/>
      <c r="D285" s="17" t="s">
        <v>188</v>
      </c>
      <c r="E285" s="17"/>
      <c r="F285" s="44">
        <f>IF(NOT(ISBLANK('Referenz Pflasterwerk'!$I69)),'Referenz Pflasterwerk'!$I69,'Referenz Pflasterwerk'!$F69)*IF(NOT(ISBLANK('Eingabe EF'!$AS54)),'Eingabe EF'!$AS54,0)</f>
        <v>0</v>
      </c>
      <c r="G285" s="44">
        <f>IF(NOT(ISBLANK('Referenz Pflasterwerk'!$I69)),'Referenz Pflasterwerk'!$I69,'Referenz Pflasterwerk'!$F69)*IF(NOT(ISBLANK('Eingabe EF'!$AW54)),'Eingabe EF'!$AW54,0)</f>
        <v>0</v>
      </c>
      <c r="H285" s="44">
        <f>IF(NOT(ISBLANK('Referenz Pflasterwerk'!$I69)),'Referenz Pflasterwerk'!$I69,'Referenz Pflasterwerk'!$F69)*IF(NOT(ISBLANK('Eingabe EF'!$BA54)),'Eingabe EF'!$BA54,0)</f>
        <v>0</v>
      </c>
      <c r="I285" s="17"/>
      <c r="J285" s="38">
        <f t="shared" ref="J285:J286" si="80">F285+G285</f>
        <v>0</v>
      </c>
      <c r="K285" s="38">
        <f t="shared" ref="K285:K286" si="81">SUM(F285:H285)</f>
        <v>0</v>
      </c>
      <c r="L285" s="17" t="s">
        <v>199</v>
      </c>
    </row>
    <row r="286" spans="2:12" ht="15.75" hidden="1" outlineLevel="1" x14ac:dyDescent="0.3">
      <c r="B286" s="17"/>
      <c r="C286" s="17"/>
      <c r="D286" s="17" t="s">
        <v>187</v>
      </c>
      <c r="E286" s="17"/>
      <c r="F286" s="44">
        <f>IF(NOT(ISBLANK('Referenz Pflasterwerk'!$I70)),'Referenz Pflasterwerk'!$I70,'Referenz Pflasterwerk'!$F70)*IF(NOT(ISBLANK('Eingabe EF'!$AS55)),'Eingabe EF'!$AS55,0)</f>
        <v>0</v>
      </c>
      <c r="G286" s="44">
        <f>IF(NOT(ISBLANK('Referenz Pflasterwerk'!$I70)),'Referenz Pflasterwerk'!$I70,'Referenz Pflasterwerk'!$F70)*IF(NOT(ISBLANK('Eingabe EF'!$AW55)),'Eingabe EF'!$AW55,0)</f>
        <v>0</v>
      </c>
      <c r="H286" s="44">
        <f>IF(NOT(ISBLANK('Referenz Pflasterwerk'!$I70)),'Referenz Pflasterwerk'!$I70,'Referenz Pflasterwerk'!$F70)*IF(NOT(ISBLANK('Eingabe EF'!$BA55)),'Eingabe EF'!$BA55,0)</f>
        <v>0</v>
      </c>
      <c r="I286" s="17"/>
      <c r="J286" s="38">
        <f t="shared" si="80"/>
        <v>0</v>
      </c>
      <c r="K286" s="38">
        <f t="shared" si="81"/>
        <v>0</v>
      </c>
      <c r="L286" s="17" t="s">
        <v>199</v>
      </c>
    </row>
    <row r="287" spans="2:12" hidden="1" outlineLevel="1" x14ac:dyDescent="0.2">
      <c r="B287" s="17"/>
      <c r="C287" s="17"/>
      <c r="D287" s="17"/>
      <c r="E287" s="17"/>
      <c r="F287" s="17"/>
      <c r="G287" s="17"/>
      <c r="H287" s="17"/>
      <c r="I287" s="17"/>
      <c r="J287" s="17"/>
      <c r="K287" s="17"/>
      <c r="L287" s="20"/>
    </row>
    <row r="288" spans="2:12" ht="14.25" hidden="1" outlineLevel="1" x14ac:dyDescent="0.25">
      <c r="B288" s="17"/>
      <c r="C288" s="17"/>
      <c r="D288" s="21" t="s">
        <v>64</v>
      </c>
      <c r="E288" s="21"/>
      <c r="F288" s="75">
        <f>IF(NOT(ISBLANK('Referenz Pflasterwerk'!$I72)),'Referenz Pflasterwerk'!$I72,'Referenz Pflasterwerk'!$F72)*IF(NOT(ISBLANK('Eingabe EF'!$AS57)),'Eingabe EF'!$AS57,'Eingabe EF'!$AQ57)</f>
        <v>0</v>
      </c>
      <c r="G288" s="75">
        <f>IF(NOT(ISBLANK('Referenz Pflasterwerk'!$I72)),'Referenz Pflasterwerk'!$I72,'Referenz Pflasterwerk'!$F72)*IF(NOT(ISBLANK('Eingabe EF'!$AW57)),'Eingabe EF'!$AW57,'Eingabe EF'!$AU57)</f>
        <v>0</v>
      </c>
      <c r="H288" s="75">
        <f>IF(NOT(ISBLANK('Referenz Pflasterwerk'!$I72)),'Referenz Pflasterwerk'!$I72,'Referenz Pflasterwerk'!$F72)*IF(NOT(ISBLANK('Eingabe EF'!$BA57)),'Eingabe EF'!$BA57,'Eingabe EF'!$AY57)</f>
        <v>161.20000000000002</v>
      </c>
      <c r="I288" s="21"/>
      <c r="J288" s="74">
        <f t="shared" ref="J288" si="82">F288+G288</f>
        <v>0</v>
      </c>
      <c r="K288" s="74">
        <f t="shared" ref="K288" si="83">SUM(F288:H288)</f>
        <v>161.20000000000002</v>
      </c>
      <c r="L288" s="21" t="s">
        <v>198</v>
      </c>
    </row>
    <row r="289" spans="2:12" hidden="1" outlineLevel="1" x14ac:dyDescent="0.2">
      <c r="B289" s="17"/>
      <c r="C289" s="17"/>
      <c r="D289" s="17"/>
      <c r="E289" s="17"/>
      <c r="F289" s="20"/>
      <c r="G289" s="20"/>
      <c r="H289" s="20"/>
      <c r="I289" s="17"/>
      <c r="J289" s="17"/>
      <c r="K289" s="20"/>
      <c r="L289" s="20"/>
    </row>
    <row r="290" spans="2:12" ht="15" hidden="1" outlineLevel="1" thickBot="1" x14ac:dyDescent="0.3">
      <c r="B290" s="17"/>
      <c r="C290" s="17"/>
      <c r="D290" s="67" t="s">
        <v>70</v>
      </c>
      <c r="E290" s="67"/>
      <c r="F290" s="68">
        <f>SUM(F233:F288)-F247-F251-F257-F264-F269-F278-F283</f>
        <v>106.60088015999999</v>
      </c>
      <c r="G290" s="68">
        <f t="shared" ref="G290:H290" si="84">SUM(G233:G288)-G247-G251-G257-G264-G269-G278-G283</f>
        <v>98.48408775377689</v>
      </c>
      <c r="H290" s="68">
        <f t="shared" si="84"/>
        <v>10493.060418337505</v>
      </c>
      <c r="I290" s="21"/>
      <c r="J290" s="68">
        <f t="shared" ref="J290:K290" si="85">SUM(J233:J288)-J247-J251-J257-J264-J269-J278-J283</f>
        <v>205.08496791377686</v>
      </c>
      <c r="K290" s="68">
        <f t="shared" si="85"/>
        <v>10698.145386251281</v>
      </c>
      <c r="L290" s="68" t="s">
        <v>198</v>
      </c>
    </row>
    <row r="291" spans="2:12" ht="13.5" hidden="1" outlineLevel="1" thickTop="1" x14ac:dyDescent="0.2">
      <c r="B291" s="17"/>
      <c r="C291" s="17"/>
      <c r="D291" s="17"/>
      <c r="E291" s="17"/>
      <c r="F291" s="20"/>
      <c r="G291" s="20"/>
      <c r="H291" s="20"/>
      <c r="I291" s="17"/>
      <c r="J291" s="17"/>
      <c r="K291" s="20"/>
      <c r="L291" s="20"/>
    </row>
    <row r="292" spans="2:12" collapsed="1" x14ac:dyDescent="0.2"/>
  </sheetData>
  <sheetProtection algorithmName="SHA-512" hashValue="/dJNi6oqyErNXuMAD8LXd5vzY81ZARsXD7LwtxvL6/x4PuPTZcUdF+CiMDoImnBeP2qgGCdzxlkUHOIBFs8zfQ==" saltValue="XGIyt8p0oQMeJezweJIq6g==" spinCount="100000" sheet="1" selectLockedCells="1"/>
  <mergeCells count="8">
    <mergeCell ref="C76:C77"/>
    <mergeCell ref="S76:S77"/>
    <mergeCell ref="K85:K86"/>
    <mergeCell ref="D12:J12"/>
    <mergeCell ref="D6:L6"/>
    <mergeCell ref="E13:G13"/>
    <mergeCell ref="E19:G19"/>
    <mergeCell ref="I19:K19"/>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523875</xdr:colOff>
                    <xdr:row>77</xdr:row>
                    <xdr:rowOff>28575</xdr:rowOff>
                  </from>
                  <to>
                    <xdr:col>2</xdr:col>
                    <xdr:colOff>704850</xdr:colOff>
                    <xdr:row>78</xdr:row>
                    <xdr:rowOff>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523875</xdr:colOff>
                    <xdr:row>78</xdr:row>
                    <xdr:rowOff>28575</xdr:rowOff>
                  </from>
                  <to>
                    <xdr:col>2</xdr:col>
                    <xdr:colOff>704850</xdr:colOff>
                    <xdr:row>78</xdr:row>
                    <xdr:rowOff>190500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523875</xdr:colOff>
                    <xdr:row>79</xdr:row>
                    <xdr:rowOff>28575</xdr:rowOff>
                  </from>
                  <to>
                    <xdr:col>2</xdr:col>
                    <xdr:colOff>704850</xdr:colOff>
                    <xdr:row>79</xdr:row>
                    <xdr:rowOff>180975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xdr:col>
                    <xdr:colOff>523875</xdr:colOff>
                    <xdr:row>80</xdr:row>
                    <xdr:rowOff>19050</xdr:rowOff>
                  </from>
                  <to>
                    <xdr:col>2</xdr:col>
                    <xdr:colOff>704850</xdr:colOff>
                    <xdr:row>80</xdr:row>
                    <xdr:rowOff>190500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2</xdr:col>
                    <xdr:colOff>523875</xdr:colOff>
                    <xdr:row>81</xdr:row>
                    <xdr:rowOff>19050</xdr:rowOff>
                  </from>
                  <to>
                    <xdr:col>2</xdr:col>
                    <xdr:colOff>704850</xdr:colOff>
                    <xdr:row>81</xdr:row>
                    <xdr:rowOff>180975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2</xdr:col>
                    <xdr:colOff>523875</xdr:colOff>
                    <xdr:row>82</xdr:row>
                    <xdr:rowOff>0</xdr:rowOff>
                  </from>
                  <to>
                    <xdr:col>2</xdr:col>
                    <xdr:colOff>704850</xdr:colOff>
                    <xdr:row>82</xdr:row>
                    <xdr:rowOff>180975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2</xdr:col>
                    <xdr:colOff>523875</xdr:colOff>
                    <xdr:row>83</xdr:row>
                    <xdr:rowOff>9525</xdr:rowOff>
                  </from>
                  <to>
                    <xdr:col>2</xdr:col>
                    <xdr:colOff>704850</xdr:colOff>
                    <xdr:row>83</xdr:row>
                    <xdr:rowOff>190500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18</xdr:col>
                    <xdr:colOff>457200</xdr:colOff>
                    <xdr:row>88</xdr:row>
                    <xdr:rowOff>0</xdr:rowOff>
                  </from>
                  <to>
                    <xdr:col>18</xdr:col>
                    <xdr:colOff>676275</xdr:colOff>
                    <xdr:row>88</xdr:row>
                    <xdr:rowOff>180975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18</xdr:col>
                    <xdr:colOff>571500</xdr:colOff>
                    <xdr:row>89</xdr:row>
                    <xdr:rowOff>19050</xdr:rowOff>
                  </from>
                  <to>
                    <xdr:col>19</xdr:col>
                    <xdr:colOff>0</xdr:colOff>
                    <xdr:row>90</xdr:row>
                    <xdr:rowOff>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18</xdr:col>
                    <xdr:colOff>571500</xdr:colOff>
                    <xdr:row>90</xdr:row>
                    <xdr:rowOff>19050</xdr:rowOff>
                  </from>
                  <to>
                    <xdr:col>19</xdr:col>
                    <xdr:colOff>0</xdr:colOff>
                    <xdr:row>91</xdr:row>
                    <xdr:rowOff>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18</xdr:col>
                    <xdr:colOff>571500</xdr:colOff>
                    <xdr:row>91</xdr:row>
                    <xdr:rowOff>9525</xdr:rowOff>
                  </from>
                  <to>
                    <xdr:col>19</xdr:col>
                    <xdr:colOff>0</xdr:colOff>
                    <xdr:row>91</xdr:row>
                    <xdr:rowOff>190500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18</xdr:col>
                    <xdr:colOff>457200</xdr:colOff>
                    <xdr:row>86</xdr:row>
                    <xdr:rowOff>9525</xdr:rowOff>
                  </from>
                  <to>
                    <xdr:col>18</xdr:col>
                    <xdr:colOff>676275</xdr:colOff>
                    <xdr:row>87</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18</xdr:col>
                    <xdr:colOff>457200</xdr:colOff>
                    <xdr:row>85</xdr:row>
                    <xdr:rowOff>0</xdr:rowOff>
                  </from>
                  <to>
                    <xdr:col>18</xdr:col>
                    <xdr:colOff>676275</xdr:colOff>
                    <xdr:row>86</xdr:row>
                    <xdr:rowOff>9525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18</xdr:col>
                    <xdr:colOff>457200</xdr:colOff>
                    <xdr:row>87</xdr:row>
                    <xdr:rowOff>9525</xdr:rowOff>
                  </from>
                  <to>
                    <xdr:col>18</xdr:col>
                    <xdr:colOff>676275</xdr:colOff>
                    <xdr:row>88</xdr:row>
                    <xdr:rowOff>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10</xdr:col>
                    <xdr:colOff>514350</xdr:colOff>
                    <xdr:row>85</xdr:row>
                    <xdr:rowOff>152400</xdr:rowOff>
                  </from>
                  <to>
                    <xdr:col>10</xdr:col>
                    <xdr:colOff>723900</xdr:colOff>
                    <xdr:row>87</xdr:row>
                    <xdr:rowOff>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10</xdr:col>
                    <xdr:colOff>514350</xdr:colOff>
                    <xdr:row>86</xdr:row>
                    <xdr:rowOff>171450</xdr:rowOff>
                  </from>
                  <to>
                    <xdr:col>10</xdr:col>
                    <xdr:colOff>723900</xdr:colOff>
                    <xdr:row>87</xdr:row>
                    <xdr:rowOff>190500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10</xdr:col>
                    <xdr:colOff>514350</xdr:colOff>
                    <xdr:row>87</xdr:row>
                    <xdr:rowOff>180975</xdr:rowOff>
                  </from>
                  <to>
                    <xdr:col>10</xdr:col>
                    <xdr:colOff>723900</xdr:colOff>
                    <xdr:row>88</xdr:row>
                    <xdr:rowOff>190500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10</xdr:col>
                    <xdr:colOff>514350</xdr:colOff>
                    <xdr:row>88</xdr:row>
                    <xdr:rowOff>180975</xdr:rowOff>
                  </from>
                  <to>
                    <xdr:col>10</xdr:col>
                    <xdr:colOff>723900</xdr:colOff>
                    <xdr:row>90</xdr:row>
                    <xdr:rowOff>0</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10</xdr:col>
                    <xdr:colOff>514350</xdr:colOff>
                    <xdr:row>89</xdr:row>
                    <xdr:rowOff>180975</xdr:rowOff>
                  </from>
                  <to>
                    <xdr:col>10</xdr:col>
                    <xdr:colOff>723900</xdr:colOff>
                    <xdr:row>91</xdr:row>
                    <xdr:rowOff>0</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10</xdr:col>
                    <xdr:colOff>514350</xdr:colOff>
                    <xdr:row>90</xdr:row>
                    <xdr:rowOff>180975</xdr:rowOff>
                  </from>
                  <to>
                    <xdr:col>10</xdr:col>
                    <xdr:colOff>723900</xdr:colOff>
                    <xdr:row>92</xdr:row>
                    <xdr:rowOff>0</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10</xdr:col>
                    <xdr:colOff>514350</xdr:colOff>
                    <xdr:row>91</xdr:row>
                    <xdr:rowOff>180975</xdr:rowOff>
                  </from>
                  <to>
                    <xdr:col>10</xdr:col>
                    <xdr:colOff>723900</xdr:colOff>
                    <xdr:row>93</xdr:row>
                    <xdr:rowOff>0</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10</xdr:col>
                    <xdr:colOff>514350</xdr:colOff>
                    <xdr:row>92</xdr:row>
                    <xdr:rowOff>190500</xdr:rowOff>
                  </from>
                  <to>
                    <xdr:col>10</xdr:col>
                    <xdr:colOff>723900</xdr:colOff>
                    <xdr:row>93</xdr:row>
                    <xdr:rowOff>190500</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10</xdr:col>
                    <xdr:colOff>514350</xdr:colOff>
                    <xdr:row>93</xdr:row>
                    <xdr:rowOff>180975</xdr:rowOff>
                  </from>
                  <to>
                    <xdr:col>10</xdr:col>
                    <xdr:colOff>723900</xdr:colOff>
                    <xdr:row>94</xdr:row>
                    <xdr:rowOff>190500</xdr:rowOff>
                  </to>
                </anchor>
              </controlPr>
            </control>
          </mc:Choice>
        </mc:AlternateContent>
        <mc:AlternateContent xmlns:mc="http://schemas.openxmlformats.org/markup-compatibility/2006">
          <mc:Choice Requires="x14">
            <control shapeId="67608" r:id="rId27" name="Check Box 24">
              <controlPr defaultSize="0" autoFill="0" autoLine="0" autoPict="0">
                <anchor moveWithCells="1">
                  <from>
                    <xdr:col>10</xdr:col>
                    <xdr:colOff>514350</xdr:colOff>
                    <xdr:row>94</xdr:row>
                    <xdr:rowOff>171450</xdr:rowOff>
                  </from>
                  <to>
                    <xdr:col>10</xdr:col>
                    <xdr:colOff>723900</xdr:colOff>
                    <xdr:row>95</xdr:row>
                    <xdr:rowOff>180975</xdr:rowOff>
                  </to>
                </anchor>
              </controlPr>
            </control>
          </mc:Choice>
        </mc:AlternateContent>
        <mc:AlternateContent xmlns:mc="http://schemas.openxmlformats.org/markup-compatibility/2006">
          <mc:Choice Requires="x14">
            <control shapeId="67609" r:id="rId28" name="Check Box 25">
              <controlPr defaultSize="0" autoFill="0" autoLine="0" autoPict="0">
                <anchor moveWithCells="1">
                  <from>
                    <xdr:col>10</xdr:col>
                    <xdr:colOff>514350</xdr:colOff>
                    <xdr:row>95</xdr:row>
                    <xdr:rowOff>171450</xdr:rowOff>
                  </from>
                  <to>
                    <xdr:col>10</xdr:col>
                    <xdr:colOff>723900</xdr:colOff>
                    <xdr:row>96</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45A4C9C3-6B41-4231-94B5-D3160E0B4F8F}">
          <x14:formula1>
            <xm:f>'Drop-Down'!$B$12:$B$15</xm:f>
          </x14:formula1>
          <xm:sqref>G16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2BE6-8FF7-410F-8983-D015BF27C0FE}">
  <sheetPr>
    <pageSetUpPr fitToPage="1"/>
  </sheetPr>
  <dimension ref="A2:AA314"/>
  <sheetViews>
    <sheetView zoomScale="90" zoomScaleNormal="90" workbookViewId="0">
      <selection activeCell="G17" sqref="G17"/>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8" width="12" style="6" customWidth="1"/>
    <col min="9"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6" x14ac:dyDescent="0.2">
      <c r="B2" s="3"/>
      <c r="C2" s="89"/>
      <c r="D2" s="89"/>
      <c r="E2" s="89"/>
      <c r="F2" s="89"/>
      <c r="G2" s="89"/>
      <c r="H2" s="89"/>
      <c r="I2" s="89"/>
      <c r="J2" s="89"/>
      <c r="K2" s="89"/>
      <c r="L2" s="89"/>
      <c r="M2" s="3"/>
      <c r="N2" s="3"/>
      <c r="O2" s="3"/>
      <c r="P2" s="3"/>
    </row>
    <row r="3" spans="2:16" ht="18" x14ac:dyDescent="0.25">
      <c r="B3" s="3"/>
      <c r="C3" s="89"/>
      <c r="D3" s="90" t="s">
        <v>259</v>
      </c>
      <c r="E3" s="89"/>
      <c r="F3" s="89"/>
      <c r="G3" s="89"/>
      <c r="H3" s="89"/>
      <c r="I3" s="89"/>
      <c r="J3" s="89"/>
      <c r="K3" s="89"/>
      <c r="L3" s="89"/>
      <c r="M3" s="3"/>
      <c r="N3" s="3"/>
      <c r="O3" s="3"/>
      <c r="P3" s="3"/>
    </row>
    <row r="4" spans="2:16" x14ac:dyDescent="0.2">
      <c r="B4" s="3"/>
      <c r="C4" s="89"/>
      <c r="D4" s="3"/>
      <c r="E4" s="3"/>
      <c r="F4" s="3"/>
      <c r="G4" s="3"/>
      <c r="H4" s="3"/>
      <c r="I4" s="3"/>
      <c r="J4" s="3"/>
      <c r="K4" s="3"/>
      <c r="L4" s="3"/>
      <c r="M4" s="3"/>
      <c r="N4" s="3"/>
      <c r="O4" s="3"/>
      <c r="P4" s="3"/>
    </row>
    <row r="5" spans="2:16" ht="19.5" customHeight="1" x14ac:dyDescent="0.2">
      <c r="B5" s="3"/>
      <c r="C5" s="89"/>
      <c r="D5" s="103" t="s">
        <v>328</v>
      </c>
      <c r="E5" s="103"/>
      <c r="F5" s="103"/>
      <c r="G5" s="103"/>
      <c r="H5" s="103"/>
      <c r="I5" s="103"/>
      <c r="J5" s="103"/>
      <c r="K5" s="103"/>
      <c r="L5" s="103"/>
      <c r="M5" s="3"/>
      <c r="N5" s="3"/>
      <c r="O5" s="3"/>
      <c r="P5" s="3"/>
    </row>
    <row r="6" spans="2:16" ht="137.25" customHeight="1" x14ac:dyDescent="0.2">
      <c r="B6" s="3"/>
      <c r="C6" s="93"/>
      <c r="D6" s="386" t="s">
        <v>335</v>
      </c>
      <c r="E6" s="386"/>
      <c r="F6" s="386"/>
      <c r="G6" s="386"/>
      <c r="H6" s="386"/>
      <c r="I6" s="386"/>
      <c r="J6" s="386"/>
      <c r="K6" s="386"/>
      <c r="L6" s="386"/>
      <c r="M6" s="3"/>
      <c r="N6" s="3"/>
      <c r="O6" s="3"/>
      <c r="P6" s="3"/>
    </row>
    <row r="7" spans="2:16" x14ac:dyDescent="0.2">
      <c r="B7" s="3"/>
      <c r="C7" s="89"/>
      <c r="D7" s="89"/>
      <c r="E7" s="89"/>
      <c r="F7" s="89"/>
      <c r="G7" s="89"/>
      <c r="H7" s="89"/>
      <c r="I7" s="89"/>
      <c r="J7" s="89"/>
      <c r="K7" s="89"/>
      <c r="L7" s="89"/>
      <c r="M7" s="3"/>
      <c r="N7" s="3"/>
      <c r="O7" s="3"/>
      <c r="P7" s="3"/>
    </row>
    <row r="9" spans="2:16" x14ac:dyDescent="0.2">
      <c r="B9" s="3"/>
      <c r="C9" s="3"/>
      <c r="D9" s="3"/>
      <c r="E9" s="3"/>
      <c r="F9" s="3"/>
      <c r="G9" s="3"/>
      <c r="H9" s="3"/>
      <c r="I9" s="3"/>
      <c r="J9" s="3"/>
      <c r="K9" s="3"/>
      <c r="L9" s="3"/>
      <c r="M9" s="3"/>
      <c r="N9" s="3"/>
      <c r="O9" s="3"/>
      <c r="P9" s="3"/>
    </row>
    <row r="10" spans="2:16" x14ac:dyDescent="0.2">
      <c r="B10" s="3"/>
      <c r="C10" s="3"/>
      <c r="D10" s="3"/>
      <c r="E10" s="3"/>
      <c r="F10" s="3"/>
      <c r="G10" s="3"/>
      <c r="H10" s="3"/>
      <c r="I10" s="3"/>
      <c r="J10" s="3"/>
      <c r="K10" s="3"/>
      <c r="L10" s="3"/>
      <c r="M10" s="3"/>
      <c r="N10" s="3"/>
      <c r="O10" s="3"/>
      <c r="P10" s="3"/>
    </row>
    <row r="11" spans="2:16" ht="18" x14ac:dyDescent="0.25">
      <c r="B11" s="3"/>
      <c r="C11" s="3"/>
      <c r="D11" s="85" t="s">
        <v>481</v>
      </c>
      <c r="E11" s="94"/>
      <c r="F11" s="95"/>
      <c r="G11" s="7"/>
      <c r="H11" s="7"/>
      <c r="I11" s="7"/>
      <c r="J11" s="7"/>
      <c r="K11" s="7"/>
      <c r="L11" s="3"/>
      <c r="M11" s="3"/>
      <c r="N11" s="3"/>
      <c r="O11" s="3"/>
      <c r="P11" s="3"/>
    </row>
    <row r="12" spans="2:16" ht="14.25" x14ac:dyDescent="0.2">
      <c r="B12" s="3"/>
      <c r="C12" s="3"/>
      <c r="D12" s="3"/>
      <c r="E12" s="3"/>
      <c r="F12" s="3"/>
      <c r="G12" s="3"/>
      <c r="H12" s="7"/>
      <c r="I12" s="7"/>
      <c r="J12" s="7"/>
      <c r="K12" s="7"/>
      <c r="L12" s="3"/>
      <c r="M12" s="3"/>
      <c r="N12" s="3"/>
      <c r="O12" s="3"/>
      <c r="P12" s="3"/>
    </row>
    <row r="13" spans="2:16" ht="14.25" customHeight="1" x14ac:dyDescent="0.2">
      <c r="B13" s="3"/>
      <c r="C13" s="3"/>
      <c r="D13" s="8"/>
      <c r="E13" s="388">
        <v>2025</v>
      </c>
      <c r="F13" s="388"/>
      <c r="G13" s="388"/>
      <c r="H13" s="13"/>
      <c r="I13" s="388">
        <v>2030</v>
      </c>
      <c r="J13" s="388"/>
      <c r="K13" s="388"/>
      <c r="L13" s="8"/>
      <c r="M13" s="3"/>
      <c r="N13" s="3"/>
      <c r="O13" s="3"/>
      <c r="P13" s="3"/>
    </row>
    <row r="14" spans="2:16" x14ac:dyDescent="0.2">
      <c r="B14" s="3"/>
      <c r="C14" s="3"/>
      <c r="D14" s="8"/>
      <c r="E14" s="101" t="s">
        <v>83</v>
      </c>
      <c r="F14" s="101"/>
      <c r="G14" s="101" t="s">
        <v>80</v>
      </c>
      <c r="H14" s="13"/>
      <c r="I14" s="101" t="s">
        <v>83</v>
      </c>
      <c r="J14" s="101"/>
      <c r="K14" s="101" t="s">
        <v>80</v>
      </c>
      <c r="L14" s="8"/>
      <c r="M14" s="3"/>
      <c r="N14" s="3"/>
      <c r="O14" s="3"/>
      <c r="P14" s="3"/>
    </row>
    <row r="15" spans="2:16" x14ac:dyDescent="0.2">
      <c r="B15" s="3"/>
      <c r="C15" s="3"/>
      <c r="D15" s="3"/>
      <c r="E15" s="3"/>
      <c r="F15" s="3"/>
      <c r="G15" s="3"/>
      <c r="H15" s="3"/>
      <c r="I15" s="3"/>
      <c r="J15" s="3"/>
      <c r="K15" s="3"/>
      <c r="L15" s="3"/>
      <c r="M15" s="3"/>
      <c r="N15" s="3"/>
      <c r="O15" s="3"/>
      <c r="P15" s="3"/>
    </row>
    <row r="16" spans="2:16" x14ac:dyDescent="0.2">
      <c r="B16" s="3"/>
      <c r="C16" s="3"/>
      <c r="D16" s="8" t="s">
        <v>477</v>
      </c>
      <c r="E16" s="3"/>
      <c r="F16" s="3"/>
      <c r="G16" s="3"/>
      <c r="H16" s="3"/>
      <c r="I16" s="3"/>
      <c r="J16" s="3"/>
      <c r="K16" s="3"/>
      <c r="L16" s="3"/>
      <c r="M16" s="3"/>
      <c r="N16" s="3"/>
      <c r="O16" s="3"/>
      <c r="P16" s="3"/>
    </row>
    <row r="17" spans="2:16" x14ac:dyDescent="0.2">
      <c r="B17" s="3"/>
      <c r="C17" s="3"/>
      <c r="D17" s="122" t="s">
        <v>261</v>
      </c>
      <c r="E17" s="79">
        <v>-2</v>
      </c>
      <c r="F17" s="15" t="s">
        <v>102</v>
      </c>
      <c r="G17" s="116"/>
      <c r="H17" s="15" t="s">
        <v>102</v>
      </c>
      <c r="I17" s="79">
        <v>-5</v>
      </c>
      <c r="J17" s="15" t="s">
        <v>102</v>
      </c>
      <c r="K17" s="116"/>
      <c r="L17" s="15" t="s">
        <v>102</v>
      </c>
      <c r="M17" s="3"/>
      <c r="N17" s="3"/>
      <c r="O17" s="3"/>
      <c r="P17" s="3"/>
    </row>
    <row r="18" spans="2:16" x14ac:dyDescent="0.2">
      <c r="B18" s="3"/>
      <c r="C18" s="3"/>
      <c r="D18" s="122" t="s">
        <v>262</v>
      </c>
      <c r="E18" s="79">
        <v>-2</v>
      </c>
      <c r="F18" s="15" t="s">
        <v>102</v>
      </c>
      <c r="G18" s="116"/>
      <c r="H18" s="15" t="s">
        <v>102</v>
      </c>
      <c r="I18" s="79">
        <v>-5</v>
      </c>
      <c r="J18" s="15" t="s">
        <v>102</v>
      </c>
      <c r="K18" s="116"/>
      <c r="L18" s="15" t="s">
        <v>102</v>
      </c>
      <c r="M18" s="3"/>
      <c r="N18" s="3"/>
      <c r="O18" s="3"/>
      <c r="P18" s="3"/>
    </row>
    <row r="19" spans="2:16" x14ac:dyDescent="0.2">
      <c r="B19" s="3"/>
      <c r="C19" s="3"/>
      <c r="D19" s="122" t="s">
        <v>51</v>
      </c>
      <c r="E19" s="79">
        <v>-2</v>
      </c>
      <c r="F19" s="15" t="s">
        <v>102</v>
      </c>
      <c r="G19" s="116"/>
      <c r="H19" s="15" t="s">
        <v>102</v>
      </c>
      <c r="I19" s="79">
        <v>-5</v>
      </c>
      <c r="J19" s="15" t="s">
        <v>102</v>
      </c>
      <c r="K19" s="116"/>
      <c r="L19" s="15" t="s">
        <v>102</v>
      </c>
      <c r="M19" s="3"/>
      <c r="N19" s="3"/>
      <c r="O19" s="3"/>
      <c r="P19" s="3"/>
    </row>
    <row r="20" spans="2:16" ht="14.25" x14ac:dyDescent="0.2">
      <c r="B20" s="3"/>
      <c r="C20" s="3"/>
      <c r="D20" s="122" t="s">
        <v>279</v>
      </c>
      <c r="E20" s="79">
        <v>-2</v>
      </c>
      <c r="F20" s="15" t="s">
        <v>102</v>
      </c>
      <c r="G20" s="116"/>
      <c r="H20" s="15" t="s">
        <v>102</v>
      </c>
      <c r="I20" s="79">
        <v>-5</v>
      </c>
      <c r="J20" s="15" t="s">
        <v>102</v>
      </c>
      <c r="K20" s="116"/>
      <c r="L20" s="15" t="s">
        <v>102</v>
      </c>
      <c r="M20" s="3"/>
      <c r="N20" s="3"/>
      <c r="O20" s="3"/>
      <c r="P20" s="3"/>
    </row>
    <row r="21" spans="2:16" x14ac:dyDescent="0.2">
      <c r="B21" s="3"/>
      <c r="C21" s="3"/>
      <c r="D21" s="11"/>
      <c r="E21" s="79"/>
      <c r="F21" s="79"/>
      <c r="G21" s="79"/>
      <c r="H21" s="79"/>
      <c r="I21" s="79"/>
      <c r="J21" s="79"/>
      <c r="K21" s="79"/>
      <c r="L21" s="15"/>
      <c r="M21" s="3"/>
      <c r="N21" s="3"/>
      <c r="O21" s="3"/>
      <c r="P21" s="3"/>
    </row>
    <row r="22" spans="2:16" ht="14.25" x14ac:dyDescent="0.2">
      <c r="B22" s="3"/>
      <c r="C22" s="3"/>
      <c r="D22" s="8" t="s">
        <v>478</v>
      </c>
      <c r="E22" s="79"/>
      <c r="F22" s="15"/>
      <c r="G22" s="15"/>
      <c r="H22" s="15"/>
      <c r="I22" s="15"/>
      <c r="J22" s="15"/>
      <c r="K22" s="15"/>
      <c r="L22" s="15"/>
      <c r="M22" s="3"/>
      <c r="N22" s="3"/>
      <c r="O22" s="3"/>
      <c r="P22" s="3"/>
    </row>
    <row r="23" spans="2:16" x14ac:dyDescent="0.2">
      <c r="B23" s="3"/>
      <c r="C23" s="3"/>
      <c r="D23" s="3" t="str">
        <f>'Referenz Pflasterwerk'!D49</f>
        <v>Flugasche</v>
      </c>
      <c r="E23" s="79">
        <v>0</v>
      </c>
      <c r="F23" s="15" t="s">
        <v>102</v>
      </c>
      <c r="G23" s="116"/>
      <c r="H23" s="15" t="s">
        <v>102</v>
      </c>
      <c r="I23" s="79">
        <v>0</v>
      </c>
      <c r="J23" s="15" t="s">
        <v>102</v>
      </c>
      <c r="K23" s="116"/>
      <c r="L23" s="15" t="s">
        <v>102</v>
      </c>
      <c r="M23" s="3"/>
      <c r="N23" s="3"/>
      <c r="O23" s="3"/>
      <c r="P23" s="3"/>
    </row>
    <row r="24" spans="2:16" x14ac:dyDescent="0.2">
      <c r="B24" s="3"/>
      <c r="C24" s="3"/>
      <c r="D24" s="3" t="str">
        <f>'Referenz Pflasterwerk'!D50</f>
        <v>Quarzsteinmehl</v>
      </c>
      <c r="E24" s="79">
        <v>2</v>
      </c>
      <c r="F24" s="15" t="s">
        <v>102</v>
      </c>
      <c r="G24" s="116"/>
      <c r="H24" s="15" t="s">
        <v>102</v>
      </c>
      <c r="I24" s="79">
        <v>5</v>
      </c>
      <c r="J24" s="15" t="s">
        <v>102</v>
      </c>
      <c r="K24" s="116"/>
      <c r="L24" s="15" t="s">
        <v>102</v>
      </c>
      <c r="M24" s="3"/>
      <c r="N24" s="3"/>
      <c r="O24" s="3"/>
      <c r="P24" s="3"/>
    </row>
    <row r="25" spans="2:16" x14ac:dyDescent="0.2">
      <c r="B25" s="3"/>
      <c r="C25" s="3"/>
      <c r="D25" s="3" t="str">
        <f>'Referenz Pflasterwerk'!D51</f>
        <v>Kalksteinmehl</v>
      </c>
      <c r="E25" s="79">
        <v>2</v>
      </c>
      <c r="F25" s="15" t="s">
        <v>102</v>
      </c>
      <c r="G25" s="116"/>
      <c r="H25" s="15" t="s">
        <v>102</v>
      </c>
      <c r="I25" s="79">
        <v>5</v>
      </c>
      <c r="J25" s="15" t="s">
        <v>102</v>
      </c>
      <c r="K25" s="116"/>
      <c r="L25" s="15" t="s">
        <v>102</v>
      </c>
      <c r="M25" s="3"/>
      <c r="N25" s="3"/>
      <c r="O25" s="3"/>
      <c r="P25" s="3"/>
    </row>
    <row r="26" spans="2:16" x14ac:dyDescent="0.2">
      <c r="B26" s="3"/>
      <c r="C26" s="3"/>
      <c r="D26" s="122" t="s">
        <v>283</v>
      </c>
      <c r="E26" s="79">
        <v>0</v>
      </c>
      <c r="F26" s="15" t="s">
        <v>49</v>
      </c>
      <c r="G26" s="300"/>
      <c r="H26" s="15" t="s">
        <v>49</v>
      </c>
      <c r="I26" s="79">
        <v>0</v>
      </c>
      <c r="J26" s="15" t="s">
        <v>49</v>
      </c>
      <c r="K26" s="300"/>
      <c r="L26" s="15" t="s">
        <v>49</v>
      </c>
      <c r="M26" s="3"/>
      <c r="N26" s="3"/>
      <c r="O26" s="3"/>
      <c r="P26" s="3"/>
    </row>
    <row r="27" spans="2:16" x14ac:dyDescent="0.2">
      <c r="B27" s="3"/>
      <c r="C27" s="3"/>
      <c r="D27" s="122" t="s">
        <v>284</v>
      </c>
      <c r="E27" s="79">
        <v>0</v>
      </c>
      <c r="F27" s="15" t="s">
        <v>49</v>
      </c>
      <c r="G27" s="300"/>
      <c r="H27" s="15" t="s">
        <v>49</v>
      </c>
      <c r="I27" s="79">
        <v>0</v>
      </c>
      <c r="J27" s="15" t="s">
        <v>49</v>
      </c>
      <c r="K27" s="300"/>
      <c r="L27" s="15" t="s">
        <v>49</v>
      </c>
      <c r="M27" s="3"/>
      <c r="N27" s="3"/>
      <c r="O27" s="3"/>
      <c r="P27" s="3"/>
    </row>
    <row r="28" spans="2:16" x14ac:dyDescent="0.2">
      <c r="B28" s="3"/>
      <c r="C28" s="3"/>
      <c r="D28" s="3"/>
      <c r="E28" s="3"/>
      <c r="F28" s="3"/>
      <c r="G28" s="3"/>
      <c r="H28" s="3"/>
      <c r="I28" s="3"/>
      <c r="J28" s="3"/>
      <c r="K28" s="3"/>
      <c r="L28" s="3"/>
      <c r="M28" s="3"/>
      <c r="N28" s="3"/>
      <c r="O28" s="3"/>
      <c r="P28" s="3"/>
    </row>
    <row r="29" spans="2:16" ht="15.75" x14ac:dyDescent="0.2">
      <c r="B29" s="3"/>
      <c r="C29" s="3"/>
      <c r="D29" s="122" t="s">
        <v>270</v>
      </c>
      <c r="E29" s="317" t="s">
        <v>121</v>
      </c>
      <c r="F29" s="15"/>
      <c r="G29" s="320"/>
      <c r="H29" s="15" t="s">
        <v>321</v>
      </c>
      <c r="I29" s="317" t="s">
        <v>121</v>
      </c>
      <c r="J29" s="15"/>
      <c r="K29" s="320"/>
      <c r="L29" s="15" t="s">
        <v>321</v>
      </c>
      <c r="M29" s="3"/>
      <c r="N29" s="3"/>
      <c r="O29" s="3"/>
      <c r="P29" s="3"/>
    </row>
    <row r="30" spans="2:16" ht="15.75" x14ac:dyDescent="0.2">
      <c r="B30" s="3"/>
      <c r="C30" s="3"/>
      <c r="D30" s="122" t="s">
        <v>271</v>
      </c>
      <c r="E30" s="317" t="s">
        <v>121</v>
      </c>
      <c r="F30" s="15"/>
      <c r="G30" s="320"/>
      <c r="H30" s="15" t="s">
        <v>321</v>
      </c>
      <c r="I30" s="317" t="s">
        <v>121</v>
      </c>
      <c r="J30" s="15"/>
      <c r="K30" s="320"/>
      <c r="L30" s="15" t="s">
        <v>321</v>
      </c>
      <c r="M30" s="3"/>
      <c r="N30" s="3"/>
      <c r="O30" s="3"/>
      <c r="P30" s="3"/>
    </row>
    <row r="31" spans="2:16" x14ac:dyDescent="0.2">
      <c r="B31" s="3"/>
      <c r="C31" s="3"/>
      <c r="D31" s="11"/>
      <c r="E31" s="79"/>
      <c r="F31" s="79"/>
      <c r="G31" s="79"/>
      <c r="H31" s="79"/>
      <c r="I31" s="79"/>
      <c r="J31" s="79"/>
      <c r="K31" s="79"/>
      <c r="L31" s="15"/>
      <c r="M31" s="3"/>
      <c r="N31" s="3"/>
      <c r="O31" s="3"/>
      <c r="P31" s="3"/>
    </row>
    <row r="32" spans="2:16" x14ac:dyDescent="0.2">
      <c r="B32" s="3"/>
      <c r="C32" s="3"/>
      <c r="D32" s="8"/>
      <c r="E32" s="80"/>
      <c r="F32" s="15"/>
      <c r="G32" s="15"/>
      <c r="H32" s="15"/>
      <c r="I32" s="80"/>
      <c r="J32" s="15"/>
      <c r="K32" s="15"/>
      <c r="L32" s="3"/>
      <c r="M32" s="3"/>
      <c r="N32" s="3"/>
      <c r="O32" s="3"/>
      <c r="P32" s="3"/>
    </row>
    <row r="33" spans="2:16" ht="14.25" x14ac:dyDescent="0.2">
      <c r="B33" s="3"/>
      <c r="C33" s="3"/>
      <c r="D33" s="12" t="s">
        <v>280</v>
      </c>
      <c r="E33" s="79">
        <v>0</v>
      </c>
      <c r="F33" s="15" t="s">
        <v>108</v>
      </c>
      <c r="G33" s="300"/>
      <c r="H33" s="15" t="s">
        <v>108</v>
      </c>
      <c r="I33" s="79">
        <v>0</v>
      </c>
      <c r="J33" s="15" t="s">
        <v>108</v>
      </c>
      <c r="K33" s="300"/>
      <c r="L33" s="3" t="s">
        <v>108</v>
      </c>
      <c r="M33" s="3"/>
      <c r="N33" s="3"/>
      <c r="O33" s="3"/>
      <c r="P33" s="3"/>
    </row>
    <row r="34" spans="2:16" ht="14.25" x14ac:dyDescent="0.2">
      <c r="B34" s="3"/>
      <c r="C34" s="3"/>
      <c r="D34" s="78" t="s">
        <v>281</v>
      </c>
      <c r="E34" s="79">
        <v>0</v>
      </c>
      <c r="F34" s="15" t="s">
        <v>109</v>
      </c>
      <c r="G34" s="300"/>
      <c r="H34" s="15" t="s">
        <v>109</v>
      </c>
      <c r="I34" s="79">
        <v>0</v>
      </c>
      <c r="J34" s="15" t="s">
        <v>109</v>
      </c>
      <c r="K34" s="300"/>
      <c r="L34" s="3" t="s">
        <v>109</v>
      </c>
      <c r="M34" s="3"/>
      <c r="N34" s="3"/>
      <c r="O34" s="3"/>
      <c r="P34" s="3"/>
    </row>
    <row r="35" spans="2:16" ht="14.25" x14ac:dyDescent="0.2">
      <c r="B35" s="3"/>
      <c r="C35" s="3"/>
      <c r="D35" s="78" t="s">
        <v>282</v>
      </c>
      <c r="E35" s="79">
        <v>0</v>
      </c>
      <c r="F35" s="15" t="s">
        <v>108</v>
      </c>
      <c r="G35" s="300"/>
      <c r="H35" s="15" t="s">
        <v>108</v>
      </c>
      <c r="I35" s="79">
        <v>0</v>
      </c>
      <c r="J35" s="15" t="s">
        <v>108</v>
      </c>
      <c r="K35" s="300"/>
      <c r="L35" s="3" t="s">
        <v>108</v>
      </c>
      <c r="M35" s="3"/>
      <c r="N35" s="3"/>
      <c r="O35" s="3"/>
      <c r="P35" s="3"/>
    </row>
    <row r="36" spans="2:16" x14ac:dyDescent="0.2">
      <c r="B36" s="3"/>
      <c r="C36" s="3"/>
      <c r="D36" s="78"/>
      <c r="E36" s="78"/>
      <c r="F36" s="78"/>
      <c r="G36" s="78"/>
      <c r="H36" s="78"/>
      <c r="I36" s="78"/>
      <c r="J36" s="78"/>
      <c r="K36" s="78"/>
      <c r="L36" s="78"/>
      <c r="M36" s="3"/>
      <c r="N36" s="3"/>
      <c r="O36" s="3"/>
      <c r="P36" s="3"/>
    </row>
    <row r="37" spans="2:16" x14ac:dyDescent="0.2">
      <c r="B37" s="3"/>
      <c r="C37" s="3"/>
      <c r="D37" s="78"/>
      <c r="E37" s="15"/>
      <c r="F37" s="15"/>
      <c r="G37" s="15"/>
      <c r="H37" s="15"/>
      <c r="I37" s="15"/>
      <c r="J37" s="15"/>
      <c r="K37" s="15"/>
      <c r="L37" s="15"/>
      <c r="M37" s="3"/>
      <c r="N37" s="3"/>
      <c r="O37" s="3"/>
      <c r="P37" s="3"/>
    </row>
    <row r="38" spans="2:16" x14ac:dyDescent="0.2">
      <c r="B38" s="3"/>
      <c r="C38" s="3"/>
      <c r="D38" s="78" t="s">
        <v>25</v>
      </c>
      <c r="E38" s="79">
        <v>10</v>
      </c>
      <c r="F38" s="15" t="s">
        <v>101</v>
      </c>
      <c r="G38" s="116"/>
      <c r="H38" s="15" t="s">
        <v>101</v>
      </c>
      <c r="I38" s="79">
        <v>10</v>
      </c>
      <c r="J38" s="15" t="s">
        <v>101</v>
      </c>
      <c r="K38" s="116"/>
      <c r="L38" s="15" t="s">
        <v>101</v>
      </c>
      <c r="M38" s="3"/>
      <c r="N38" s="3"/>
      <c r="O38" s="3"/>
      <c r="P38" s="3"/>
    </row>
    <row r="39" spans="2:16" x14ac:dyDescent="0.2">
      <c r="B39" s="3"/>
      <c r="C39" s="3"/>
      <c r="D39" s="78" t="s">
        <v>26</v>
      </c>
      <c r="E39" s="81">
        <v>8</v>
      </c>
      <c r="F39" s="15" t="s">
        <v>102</v>
      </c>
      <c r="G39" s="301"/>
      <c r="H39" s="15" t="s">
        <v>102</v>
      </c>
      <c r="I39" s="81">
        <v>8</v>
      </c>
      <c r="J39" s="15" t="s">
        <v>102</v>
      </c>
      <c r="K39" s="301"/>
      <c r="L39" s="15" t="s">
        <v>102</v>
      </c>
      <c r="M39" s="3"/>
      <c r="N39" s="3"/>
      <c r="O39" s="3"/>
      <c r="P39" s="3"/>
    </row>
    <row r="40" spans="2:16" x14ac:dyDescent="0.2">
      <c r="B40" s="3"/>
      <c r="C40" s="3"/>
      <c r="D40" s="15"/>
      <c r="E40" s="81"/>
      <c r="F40" s="15"/>
      <c r="G40" s="15"/>
      <c r="H40" s="15"/>
      <c r="I40" s="80"/>
      <c r="J40" s="15"/>
      <c r="K40" s="15"/>
      <c r="L40" s="3"/>
      <c r="M40" s="3"/>
      <c r="N40" s="3"/>
      <c r="O40" s="3"/>
      <c r="P40" s="3"/>
    </row>
    <row r="41" spans="2:16" x14ac:dyDescent="0.2">
      <c r="B41" s="3"/>
      <c r="C41" s="3"/>
      <c r="D41" s="15"/>
      <c r="E41" s="81"/>
      <c r="F41" s="15"/>
      <c r="G41" s="15"/>
      <c r="H41" s="15"/>
      <c r="I41" s="80"/>
      <c r="J41" s="15"/>
      <c r="K41" s="15"/>
      <c r="L41" s="3"/>
      <c r="M41" s="3"/>
      <c r="N41" s="3"/>
      <c r="O41" s="3"/>
      <c r="P41" s="3"/>
    </row>
    <row r="42" spans="2:16" ht="13.5" customHeight="1" x14ac:dyDescent="0.2">
      <c r="B42" s="3"/>
      <c r="C42" s="318" t="s">
        <v>312</v>
      </c>
      <c r="D42" s="390" t="s">
        <v>311</v>
      </c>
      <c r="E42" s="390"/>
      <c r="F42" s="390"/>
      <c r="G42" s="390"/>
      <c r="H42" s="390"/>
      <c r="I42" s="390"/>
      <c r="J42" s="390"/>
      <c r="K42" s="390"/>
      <c r="L42" s="390"/>
      <c r="M42" s="3"/>
      <c r="N42" s="3"/>
      <c r="O42" s="3"/>
      <c r="P42" s="3"/>
    </row>
    <row r="43" spans="2:16" ht="25.5" customHeight="1" x14ac:dyDescent="0.2">
      <c r="B43" s="3"/>
      <c r="C43" s="318" t="s">
        <v>313</v>
      </c>
      <c r="D43" s="391" t="s">
        <v>317</v>
      </c>
      <c r="E43" s="391"/>
      <c r="F43" s="391"/>
      <c r="G43" s="391"/>
      <c r="H43" s="391"/>
      <c r="I43" s="391"/>
      <c r="J43" s="391"/>
      <c r="K43" s="391"/>
      <c r="L43" s="391"/>
      <c r="M43" s="3"/>
      <c r="N43" s="3"/>
      <c r="O43" s="3"/>
      <c r="P43" s="3"/>
    </row>
    <row r="44" spans="2:16" x14ac:dyDescent="0.2">
      <c r="B44" s="3"/>
      <c r="C44" s="318" t="s">
        <v>314</v>
      </c>
      <c r="D44" s="392" t="s">
        <v>320</v>
      </c>
      <c r="E44" s="392"/>
      <c r="F44" s="392"/>
      <c r="G44" s="392"/>
      <c r="H44" s="392"/>
      <c r="I44" s="392"/>
      <c r="J44" s="392"/>
      <c r="K44" s="392"/>
      <c r="L44" s="392"/>
      <c r="M44" s="3"/>
      <c r="N44" s="3"/>
      <c r="O44" s="3"/>
      <c r="P44" s="3"/>
    </row>
    <row r="45" spans="2:16" x14ac:dyDescent="0.2">
      <c r="B45" s="3"/>
      <c r="C45" s="318" t="s">
        <v>315</v>
      </c>
      <c r="D45" s="392" t="s">
        <v>318</v>
      </c>
      <c r="E45" s="392"/>
      <c r="F45" s="392"/>
      <c r="G45" s="392"/>
      <c r="H45" s="392"/>
      <c r="I45" s="392"/>
      <c r="J45" s="392"/>
      <c r="K45" s="392"/>
      <c r="L45" s="392"/>
      <c r="M45" s="3"/>
      <c r="N45" s="3"/>
      <c r="O45" s="3"/>
      <c r="P45" s="3"/>
    </row>
    <row r="46" spans="2:16" x14ac:dyDescent="0.2">
      <c r="B46" s="3"/>
      <c r="C46" s="318" t="s">
        <v>316</v>
      </c>
      <c r="D46" s="392" t="s">
        <v>319</v>
      </c>
      <c r="E46" s="392"/>
      <c r="F46" s="392"/>
      <c r="G46" s="392"/>
      <c r="H46" s="392"/>
      <c r="I46" s="392"/>
      <c r="J46" s="392"/>
      <c r="K46" s="392"/>
      <c r="L46" s="392"/>
      <c r="M46" s="3"/>
      <c r="N46" s="3"/>
      <c r="O46" s="3"/>
      <c r="P46" s="3"/>
    </row>
    <row r="47" spans="2:16" x14ac:dyDescent="0.2">
      <c r="B47" s="3"/>
      <c r="C47" s="3"/>
      <c r="D47" s="15"/>
      <c r="E47" s="10"/>
      <c r="F47" s="3"/>
      <c r="G47" s="3"/>
      <c r="H47" s="3"/>
      <c r="I47" s="16"/>
      <c r="J47" s="3"/>
      <c r="K47" s="3"/>
      <c r="L47" s="3"/>
      <c r="M47" s="3"/>
      <c r="N47" s="3"/>
      <c r="O47" s="3"/>
      <c r="P47" s="3"/>
    </row>
    <row r="49" spans="2:27" x14ac:dyDescent="0.2">
      <c r="B49" s="3"/>
      <c r="C49" s="3"/>
      <c r="D49" s="14"/>
      <c r="E49" s="3"/>
      <c r="F49" s="3"/>
      <c r="G49" s="3"/>
      <c r="H49" s="3"/>
      <c r="I49" s="3"/>
      <c r="J49" s="3"/>
      <c r="K49" s="3"/>
      <c r="L49" s="3"/>
      <c r="M49" s="3"/>
      <c r="N49" s="3"/>
      <c r="O49" s="3"/>
      <c r="P49" s="3"/>
      <c r="Q49" s="3"/>
      <c r="R49" s="3"/>
      <c r="S49" s="3"/>
      <c r="T49" s="3"/>
      <c r="U49" s="3"/>
      <c r="V49" s="3"/>
      <c r="W49" s="3"/>
      <c r="X49" s="3"/>
      <c r="Y49" s="3"/>
      <c r="Z49" s="3"/>
      <c r="AA49" s="3"/>
    </row>
    <row r="50" spans="2:27" ht="18" x14ac:dyDescent="0.25">
      <c r="B50" s="3"/>
      <c r="C50" s="96" t="s">
        <v>260</v>
      </c>
      <c r="D50" s="14"/>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14"/>
      <c r="E51" s="3"/>
      <c r="F51" s="3"/>
      <c r="G51" s="114"/>
      <c r="H51" s="3"/>
      <c r="I51" s="3"/>
      <c r="J51" s="3"/>
      <c r="K51" s="3"/>
      <c r="L51" s="3"/>
      <c r="M51" s="3"/>
      <c r="N51" s="3"/>
      <c r="O51" s="3"/>
      <c r="P51" s="3"/>
      <c r="Q51" s="3"/>
      <c r="R51" s="3"/>
      <c r="S51" s="3"/>
      <c r="T51" s="3"/>
      <c r="U51" s="3"/>
      <c r="V51" s="3"/>
      <c r="W51" s="3"/>
      <c r="X51" s="3"/>
      <c r="Y51" s="3"/>
      <c r="Z51" s="3"/>
      <c r="AA51" s="3"/>
    </row>
    <row r="52" spans="2:27" ht="15" x14ac:dyDescent="0.25">
      <c r="B52" s="3"/>
      <c r="C52" s="91" t="s">
        <v>263</v>
      </c>
      <c r="D52" s="3"/>
      <c r="E52" s="3"/>
      <c r="F52" s="3"/>
      <c r="G52" s="3"/>
      <c r="H52" s="3"/>
      <c r="I52" s="3"/>
      <c r="J52" s="3"/>
      <c r="K52" s="91" t="s">
        <v>119</v>
      </c>
      <c r="L52" s="3"/>
      <c r="M52" s="3"/>
      <c r="N52" s="3"/>
      <c r="O52" s="3"/>
      <c r="P52" s="3"/>
      <c r="Q52" s="3"/>
      <c r="R52" s="3"/>
      <c r="S52" s="92" t="s">
        <v>87</v>
      </c>
      <c r="T52" s="3"/>
      <c r="U52" s="3"/>
      <c r="V52" s="3"/>
      <c r="W52" s="3"/>
      <c r="X52" s="3"/>
      <c r="Y52" s="3"/>
      <c r="Z52" s="3"/>
      <c r="AA52" s="3"/>
    </row>
    <row r="53" spans="2:27" x14ac:dyDescent="0.2">
      <c r="B53" s="3"/>
      <c r="C53" s="3"/>
      <c r="D53" s="14"/>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x14ac:dyDescent="0.2">
      <c r="B66" s="3"/>
      <c r="C66" s="3"/>
      <c r="D66" s="3"/>
      <c r="E66" s="3"/>
      <c r="F66" s="3"/>
      <c r="G66" s="3"/>
      <c r="H66" s="3"/>
      <c r="I66" s="3"/>
      <c r="J66" s="3"/>
      <c r="K66" s="3"/>
      <c r="L66" s="3"/>
      <c r="M66" s="3"/>
      <c r="N66" s="3"/>
      <c r="O66" s="3"/>
      <c r="P66" s="3"/>
      <c r="Q66" s="3"/>
      <c r="R66" s="3"/>
      <c r="S66" s="3"/>
      <c r="T66" s="3"/>
      <c r="U66" s="3"/>
      <c r="V66" s="3"/>
      <c r="W66" s="3"/>
      <c r="X66" s="3"/>
      <c r="Y66" s="3"/>
      <c r="Z66" s="3"/>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3"/>
      <c r="Z67" s="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7" x14ac:dyDescent="0.2">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7" x14ac:dyDescent="0.2">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7" x14ac:dyDescent="0.2">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7" x14ac:dyDescent="0.2">
      <c r="B72" s="3"/>
      <c r="C72" s="3"/>
      <c r="D72" s="3"/>
      <c r="E72" s="3"/>
      <c r="F72" s="3"/>
      <c r="G72" s="3"/>
      <c r="H72" s="3"/>
      <c r="I72" s="3"/>
      <c r="J72" s="3"/>
      <c r="K72" s="3"/>
      <c r="L72" s="3"/>
      <c r="M72" s="3"/>
      <c r="N72" s="3"/>
      <c r="O72" s="3"/>
      <c r="P72" s="3"/>
      <c r="Q72" s="3"/>
      <c r="R72" s="3"/>
      <c r="S72" s="3"/>
      <c r="T72" s="3"/>
      <c r="U72" s="3"/>
      <c r="V72" s="3"/>
      <c r="W72" s="3"/>
      <c r="X72" s="3"/>
      <c r="Y72" s="3"/>
      <c r="Z72" s="3"/>
      <c r="AA72" s="3"/>
    </row>
    <row r="73" spans="2:27" x14ac:dyDescent="0.2">
      <c r="B73" s="3"/>
      <c r="C73" s="3"/>
      <c r="D73" s="3"/>
      <c r="E73" s="3"/>
      <c r="F73" s="3"/>
      <c r="G73" s="3"/>
      <c r="H73" s="3"/>
      <c r="I73" s="3"/>
      <c r="J73" s="3"/>
      <c r="K73" s="3"/>
      <c r="L73" s="3"/>
      <c r="M73" s="3"/>
      <c r="N73" s="3"/>
      <c r="O73" s="3"/>
      <c r="P73" s="3"/>
      <c r="Q73" s="3"/>
      <c r="R73" s="3"/>
      <c r="S73" s="3"/>
      <c r="T73" s="3"/>
      <c r="U73" s="3"/>
      <c r="V73" s="3"/>
      <c r="W73" s="3"/>
      <c r="X73" s="3"/>
      <c r="Y73" s="3"/>
      <c r="Z73" s="3"/>
      <c r="AA73" s="3"/>
    </row>
    <row r="74" spans="2:27" x14ac:dyDescent="0.2">
      <c r="B74" s="3"/>
      <c r="C74" s="3"/>
      <c r="D74" s="3"/>
      <c r="E74" s="3"/>
      <c r="F74" s="3"/>
      <c r="G74" s="3"/>
      <c r="H74" s="3"/>
      <c r="I74" s="3"/>
      <c r="J74" s="3"/>
      <c r="K74" s="3"/>
      <c r="L74" s="3"/>
      <c r="M74" s="3"/>
      <c r="N74" s="3"/>
      <c r="O74" s="3"/>
      <c r="P74" s="3"/>
      <c r="Q74" s="3"/>
      <c r="R74" s="3"/>
      <c r="S74" s="3"/>
      <c r="T74" s="3"/>
      <c r="U74" s="3"/>
      <c r="V74" s="3"/>
      <c r="W74" s="3"/>
      <c r="X74" s="3"/>
      <c r="Y74" s="3"/>
      <c r="Z74" s="3"/>
      <c r="AA74" s="3"/>
    </row>
    <row r="75" spans="2:27" x14ac:dyDescent="0.2">
      <c r="B75" s="3"/>
      <c r="C75" s="3"/>
      <c r="D75" s="3"/>
      <c r="E75" s="3"/>
      <c r="F75" s="3"/>
      <c r="G75" s="3"/>
      <c r="H75" s="3"/>
      <c r="I75" s="3"/>
      <c r="J75" s="3"/>
      <c r="K75" s="3"/>
      <c r="L75" s="3"/>
      <c r="M75" s="3"/>
      <c r="N75" s="3"/>
      <c r="O75" s="3"/>
      <c r="P75" s="3"/>
      <c r="Q75" s="3"/>
      <c r="R75" s="3"/>
      <c r="S75" s="3"/>
      <c r="T75" s="3"/>
      <c r="U75" s="3"/>
      <c r="V75" s="3"/>
      <c r="W75" s="3"/>
      <c r="X75" s="3"/>
      <c r="Y75" s="3"/>
      <c r="Z75" s="3"/>
      <c r="AA75" s="3"/>
    </row>
    <row r="76" spans="2:27" x14ac:dyDescent="0.2">
      <c r="B76" s="3"/>
      <c r="C76" s="3"/>
      <c r="D76" s="3"/>
      <c r="E76" s="3"/>
      <c r="F76" s="3"/>
      <c r="G76" s="3"/>
      <c r="H76" s="3"/>
      <c r="I76" s="3"/>
      <c r="J76" s="3"/>
      <c r="K76" s="3"/>
      <c r="L76" s="3"/>
      <c r="M76" s="3"/>
      <c r="N76" s="3"/>
      <c r="O76" s="3"/>
      <c r="P76" s="3"/>
      <c r="Q76" s="3"/>
      <c r="R76" s="3"/>
      <c r="S76" s="3"/>
      <c r="T76" s="3"/>
      <c r="U76" s="3"/>
      <c r="V76" s="3"/>
      <c r="W76" s="3"/>
      <c r="X76" s="3"/>
      <c r="Y76" s="3"/>
      <c r="Z76" s="3"/>
      <c r="AA76" s="3"/>
    </row>
    <row r="77" spans="2:27" x14ac:dyDescent="0.2">
      <c r="B77" s="3"/>
      <c r="C77" s="3"/>
      <c r="D77" s="3"/>
      <c r="E77" s="3"/>
      <c r="F77" s="3"/>
      <c r="G77" s="3"/>
      <c r="H77" s="3"/>
      <c r="I77" s="3"/>
      <c r="J77" s="3"/>
      <c r="K77" s="3"/>
      <c r="L77" s="3"/>
      <c r="M77" s="3"/>
      <c r="N77" s="3"/>
      <c r="O77" s="3"/>
      <c r="P77" s="3"/>
      <c r="Q77" s="3"/>
      <c r="R77" s="3"/>
      <c r="S77" s="3"/>
      <c r="T77" s="3"/>
      <c r="U77" s="3"/>
      <c r="V77" s="3"/>
      <c r="W77" s="3"/>
      <c r="X77" s="3"/>
      <c r="Y77" s="3"/>
      <c r="Z77" s="3"/>
      <c r="AA77" s="3"/>
    </row>
    <row r="78" spans="2:27" x14ac:dyDescent="0.2">
      <c r="B78" s="3"/>
      <c r="C78" s="3"/>
      <c r="D78" s="3"/>
      <c r="E78" s="3"/>
      <c r="F78" s="3"/>
      <c r="G78" s="3"/>
      <c r="H78" s="3"/>
      <c r="I78" s="3"/>
      <c r="J78" s="3"/>
      <c r="K78" s="3"/>
      <c r="L78" s="3"/>
      <c r="M78" s="3"/>
      <c r="N78" s="3"/>
      <c r="O78" s="3"/>
      <c r="P78" s="3"/>
      <c r="Q78" s="3"/>
      <c r="R78" s="3"/>
      <c r="S78" s="3"/>
      <c r="T78" s="3"/>
      <c r="U78" s="3"/>
      <c r="V78" s="3"/>
      <c r="W78" s="3"/>
      <c r="X78" s="3"/>
      <c r="Y78" s="3"/>
      <c r="Z78" s="3"/>
      <c r="AA78" s="3"/>
    </row>
    <row r="79" spans="2:27" x14ac:dyDescent="0.2">
      <c r="B79" s="3"/>
      <c r="C79" s="3"/>
      <c r="D79" s="3"/>
      <c r="E79" s="3"/>
      <c r="F79" s="3"/>
      <c r="G79" s="3"/>
      <c r="H79" s="3"/>
      <c r="I79" s="3"/>
      <c r="J79" s="3"/>
      <c r="K79" s="3"/>
      <c r="L79" s="3"/>
      <c r="M79" s="3"/>
      <c r="N79" s="3"/>
      <c r="O79" s="3"/>
      <c r="P79" s="3"/>
      <c r="Q79" s="3"/>
      <c r="R79" s="3"/>
      <c r="S79" s="3"/>
      <c r="T79" s="3"/>
      <c r="U79" s="3"/>
      <c r="V79" s="3"/>
      <c r="W79" s="3"/>
      <c r="X79" s="3"/>
      <c r="Y79" s="3"/>
      <c r="Z79" s="3"/>
      <c r="AA79" s="3"/>
    </row>
    <row r="80" spans="2:27" x14ac:dyDescent="0.2">
      <c r="B80" s="3"/>
      <c r="C80" s="3"/>
      <c r="D80" s="3"/>
      <c r="E80" s="3"/>
      <c r="F80" s="3"/>
      <c r="G80" s="3"/>
      <c r="H80" s="3"/>
      <c r="I80" s="3"/>
      <c r="J80" s="3"/>
      <c r="K80" s="3"/>
      <c r="L80" s="3"/>
      <c r="M80" s="3"/>
      <c r="N80" s="3"/>
      <c r="O80" s="3"/>
      <c r="P80" s="3"/>
      <c r="Q80" s="3"/>
      <c r="R80" s="3"/>
      <c r="S80" s="3"/>
      <c r="T80" s="3"/>
      <c r="U80" s="3"/>
      <c r="V80" s="3"/>
      <c r="W80" s="3"/>
      <c r="X80" s="3"/>
      <c r="Y80" s="3"/>
      <c r="Z80" s="3"/>
      <c r="AA80" s="3"/>
    </row>
    <row r="81" spans="2:27" x14ac:dyDescent="0.2">
      <c r="B81" s="3"/>
      <c r="C81" s="3"/>
      <c r="D81" s="3"/>
      <c r="E81" s="3"/>
      <c r="F81" s="3"/>
      <c r="G81" s="3"/>
      <c r="H81" s="3"/>
      <c r="I81" s="3"/>
      <c r="J81" s="3"/>
      <c r="K81" s="3"/>
      <c r="L81" s="3"/>
      <c r="M81" s="3"/>
      <c r="N81" s="3"/>
      <c r="O81" s="3"/>
      <c r="P81" s="3"/>
      <c r="Q81" s="3"/>
      <c r="R81" s="3"/>
      <c r="S81" s="3"/>
      <c r="T81" s="3"/>
      <c r="U81" s="3"/>
      <c r="V81" s="3"/>
      <c r="W81" s="3"/>
      <c r="X81" s="3"/>
      <c r="Y81" s="3"/>
      <c r="Z81" s="3"/>
      <c r="AA81" s="3"/>
    </row>
    <row r="82" spans="2:27" x14ac:dyDescent="0.2">
      <c r="B82" s="3"/>
      <c r="C82" s="3"/>
      <c r="D82" s="3"/>
      <c r="E82" s="3"/>
      <c r="F82" s="3"/>
      <c r="G82" s="3"/>
      <c r="H82" s="3"/>
      <c r="I82" s="3"/>
      <c r="J82" s="3"/>
      <c r="K82" s="3"/>
      <c r="L82" s="3"/>
      <c r="M82" s="3"/>
      <c r="N82" s="3"/>
      <c r="O82" s="3"/>
      <c r="P82" s="3"/>
      <c r="Q82" s="3"/>
      <c r="R82" s="3"/>
      <c r="S82" s="3"/>
      <c r="T82" s="3"/>
      <c r="U82" s="3"/>
      <c r="V82" s="3"/>
      <c r="W82" s="3"/>
      <c r="X82" s="3"/>
      <c r="Y82" s="3"/>
      <c r="Z82" s="3"/>
      <c r="AA82" s="3"/>
    </row>
    <row r="83" spans="2:27" x14ac:dyDescent="0.2">
      <c r="B83" s="3"/>
      <c r="C83" s="3"/>
      <c r="D83" s="3"/>
      <c r="E83" s="3"/>
      <c r="F83" s="3"/>
      <c r="G83" s="3"/>
      <c r="H83" s="3"/>
      <c r="I83" s="3"/>
      <c r="J83" s="3"/>
      <c r="K83" s="3"/>
      <c r="L83" s="3"/>
      <c r="M83" s="3"/>
      <c r="N83" s="3"/>
      <c r="O83" s="3"/>
      <c r="P83" s="3"/>
      <c r="Q83" s="3"/>
      <c r="R83" s="3"/>
      <c r="S83" s="3"/>
      <c r="T83" s="3"/>
      <c r="U83" s="3"/>
      <c r="V83" s="3"/>
      <c r="W83" s="3"/>
      <c r="X83" s="3"/>
      <c r="Y83" s="3"/>
      <c r="Z83" s="3"/>
      <c r="AA83" s="3"/>
    </row>
    <row r="84" spans="2:27" ht="15" customHeight="1" x14ac:dyDescent="0.25">
      <c r="B84" s="3"/>
      <c r="C84" s="96"/>
      <c r="D84" s="62"/>
      <c r="E84" s="3"/>
      <c r="F84" s="3"/>
      <c r="G84" s="3"/>
      <c r="H84" s="3"/>
      <c r="I84" s="3"/>
      <c r="J84" s="3"/>
      <c r="K84" s="3"/>
      <c r="L84" s="3"/>
      <c r="M84" s="3"/>
      <c r="N84" s="3"/>
      <c r="O84" s="3"/>
      <c r="P84" s="3"/>
      <c r="Q84" s="3"/>
      <c r="R84" s="3"/>
      <c r="S84" s="3"/>
      <c r="T84" s="3"/>
      <c r="U84" s="3"/>
      <c r="V84" s="3"/>
      <c r="W84" s="3"/>
      <c r="X84" s="3"/>
      <c r="Y84" s="84"/>
      <c r="Z84" s="84"/>
      <c r="AA84" s="3"/>
    </row>
    <row r="85" spans="2:27" x14ac:dyDescent="0.2">
      <c r="B85" s="3"/>
      <c r="C85" s="3"/>
      <c r="D85" s="3"/>
      <c r="E85" s="3"/>
      <c r="F85" s="3"/>
      <c r="G85" s="3"/>
      <c r="H85" s="3"/>
      <c r="I85" s="3"/>
      <c r="J85" s="3"/>
      <c r="K85" s="3"/>
      <c r="L85" s="3"/>
      <c r="M85" s="3"/>
      <c r="N85" s="3"/>
      <c r="O85" s="3"/>
      <c r="P85" s="3"/>
      <c r="Q85" s="3"/>
      <c r="R85" s="3"/>
      <c r="S85" s="3"/>
      <c r="T85" s="3"/>
      <c r="U85" s="3"/>
      <c r="V85" s="3"/>
      <c r="W85" s="3"/>
      <c r="X85" s="3"/>
      <c r="Y85" s="83"/>
      <c r="Z85" s="83"/>
      <c r="AA85" s="3"/>
    </row>
    <row r="86" spans="2:27" x14ac:dyDescent="0.2">
      <c r="B86" s="3"/>
      <c r="C86" s="3"/>
      <c r="D86" s="3"/>
      <c r="E86" s="3"/>
      <c r="F86" s="3"/>
      <c r="G86" s="3"/>
      <c r="H86" s="3"/>
      <c r="I86" s="3"/>
      <c r="J86" s="3"/>
      <c r="K86" s="3"/>
      <c r="L86" s="3"/>
      <c r="M86" s="3"/>
      <c r="N86" s="3"/>
      <c r="O86" s="3"/>
      <c r="P86" s="3"/>
      <c r="Q86" s="3"/>
      <c r="R86" s="3"/>
      <c r="S86" s="3"/>
      <c r="T86" s="3"/>
      <c r="U86" s="3"/>
      <c r="V86" s="3"/>
      <c r="W86" s="3"/>
      <c r="X86" s="3"/>
      <c r="Y86" s="83"/>
      <c r="Z86" s="83"/>
      <c r="AA86" s="3"/>
    </row>
    <row r="87" spans="2:27" ht="15" customHeight="1" x14ac:dyDescent="0.25">
      <c r="B87" s="3"/>
      <c r="C87" s="3"/>
      <c r="D87" s="23" t="s">
        <v>193</v>
      </c>
      <c r="E87" s="24"/>
      <c r="F87" s="24"/>
      <c r="G87" s="24"/>
      <c r="H87" s="24"/>
      <c r="I87" s="3"/>
      <c r="J87" s="3"/>
      <c r="K87" s="3"/>
      <c r="L87" s="23" t="s">
        <v>195</v>
      </c>
      <c r="M87" s="24"/>
      <c r="N87" s="24"/>
      <c r="O87" s="24"/>
      <c r="P87" s="24"/>
      <c r="Q87" s="3"/>
      <c r="R87" s="3"/>
      <c r="S87" s="3"/>
      <c r="T87" s="23" t="s">
        <v>200</v>
      </c>
      <c r="U87" s="24"/>
      <c r="V87" s="24"/>
      <c r="W87" s="24"/>
      <c r="X87" s="3"/>
      <c r="Y87" s="83"/>
      <c r="Z87" s="83"/>
      <c r="AA87" s="3"/>
    </row>
    <row r="88" spans="2:27" ht="15" customHeight="1" x14ac:dyDescent="0.25">
      <c r="B88" s="3"/>
      <c r="C88" s="387" t="s">
        <v>147</v>
      </c>
      <c r="D88" s="34"/>
      <c r="E88" s="46">
        <v>2020</v>
      </c>
      <c r="F88" s="47">
        <v>2025</v>
      </c>
      <c r="G88" s="47">
        <v>2030</v>
      </c>
      <c r="H88" s="34"/>
      <c r="I88" s="3"/>
      <c r="J88" s="3"/>
      <c r="K88" s="3"/>
      <c r="L88" s="34"/>
      <c r="M88" s="46">
        <v>2020</v>
      </c>
      <c r="N88" s="47">
        <v>2025</v>
      </c>
      <c r="O88" s="47">
        <v>2030</v>
      </c>
      <c r="P88" s="34"/>
      <c r="Q88" s="3"/>
      <c r="R88" s="3"/>
      <c r="S88" s="387" t="s">
        <v>147</v>
      </c>
      <c r="T88" s="34"/>
      <c r="U88" s="47">
        <v>2020</v>
      </c>
      <c r="V88" s="47">
        <v>2025</v>
      </c>
      <c r="W88" s="47">
        <v>2030</v>
      </c>
      <c r="X88" s="3"/>
      <c r="Y88" s="83"/>
      <c r="Z88" s="83"/>
      <c r="AA88" s="63"/>
    </row>
    <row r="89" spans="2:27" x14ac:dyDescent="0.2">
      <c r="B89" s="3"/>
      <c r="C89" s="387"/>
      <c r="D89" s="24"/>
      <c r="E89" s="48" t="s">
        <v>92</v>
      </c>
      <c r="F89" s="49"/>
      <c r="G89" s="49"/>
      <c r="H89" s="24"/>
      <c r="I89" s="3"/>
      <c r="J89" s="3"/>
      <c r="K89" s="3"/>
      <c r="L89" s="24"/>
      <c r="M89" s="48" t="s">
        <v>92</v>
      </c>
      <c r="N89" s="49"/>
      <c r="O89" s="49"/>
      <c r="P89" s="24"/>
      <c r="Q89" s="3"/>
      <c r="R89" s="3"/>
      <c r="S89" s="387"/>
      <c r="T89" s="24"/>
      <c r="U89" s="50" t="s">
        <v>92</v>
      </c>
      <c r="V89" s="50"/>
      <c r="W89" s="59"/>
      <c r="X89" s="3"/>
      <c r="Y89" s="83"/>
      <c r="Z89" s="83"/>
      <c r="AA89" s="63"/>
    </row>
    <row r="90" spans="2:27" ht="15.75" x14ac:dyDescent="0.3">
      <c r="B90" s="3"/>
      <c r="C90" s="3"/>
      <c r="D90" s="29" t="str">
        <f>C168</f>
        <v>Energieträger gesamt</v>
      </c>
      <c r="E90" s="26">
        <f>SUM('Referenz Pflasterwerk'!S16:S29)</f>
        <v>60.712972560000004</v>
      </c>
      <c r="F90" s="26">
        <f>H168</f>
        <v>49.22770657818478</v>
      </c>
      <c r="G90" s="26">
        <f>H247</f>
        <v>33.751991196047953</v>
      </c>
      <c r="H90" s="25" t="s">
        <v>164</v>
      </c>
      <c r="I90" s="3"/>
      <c r="J90" s="3"/>
      <c r="K90" s="3"/>
      <c r="L90" s="29" t="s">
        <v>118</v>
      </c>
      <c r="M90" s="26">
        <f>'Referenz Pflasterwerk'!Q74</f>
        <v>106.60088015999999</v>
      </c>
      <c r="N90" s="26">
        <f>F231</f>
        <v>106.60088015999999</v>
      </c>
      <c r="O90" s="26">
        <f>F310</f>
        <v>106.60088015999999</v>
      </c>
      <c r="P90" s="25" t="s">
        <v>164</v>
      </c>
      <c r="Q90" s="3"/>
      <c r="R90" s="3"/>
      <c r="S90" s="3"/>
      <c r="T90" s="57" t="s">
        <v>160</v>
      </c>
      <c r="U90" s="58">
        <f>SUM(U91:U97)</f>
        <v>172669</v>
      </c>
      <c r="V90" s="58">
        <f t="shared" ref="V90:W90" si="0">SUM(V91:V97)</f>
        <v>172669</v>
      </c>
      <c r="W90" s="58">
        <f t="shared" si="0"/>
        <v>172669</v>
      </c>
      <c r="X90" s="3"/>
      <c r="Y90" s="115"/>
      <c r="Z90" s="115"/>
      <c r="AA90" s="63"/>
    </row>
    <row r="91" spans="2:27" ht="15.75" x14ac:dyDescent="0.3">
      <c r="B91" s="3"/>
      <c r="C91" s="3"/>
      <c r="D91" s="8" t="str">
        <f>C184</f>
        <v>Transport gesamt</v>
      </c>
      <c r="E91" s="9">
        <f>'Referenz Pflasterwerk'!S32+'Referenz Pflasterwerk'!S33</f>
        <v>578.62626120000004</v>
      </c>
      <c r="F91" s="9">
        <f>H184</f>
        <v>578.62626120000004</v>
      </c>
      <c r="G91" s="9">
        <f>H263</f>
        <v>578.62626120000004</v>
      </c>
      <c r="H91" s="3" t="s">
        <v>164</v>
      </c>
      <c r="I91" s="3"/>
      <c r="J91" s="3"/>
      <c r="K91" s="3"/>
      <c r="L91" s="8" t="s">
        <v>28</v>
      </c>
      <c r="M91" s="9">
        <f>'Referenz Pflasterwerk'!R74</f>
        <v>286.5</v>
      </c>
      <c r="N91" s="9">
        <f>G231</f>
        <v>208.15407848118898</v>
      </c>
      <c r="O91" s="9">
        <f>G310</f>
        <v>102.58759141018427</v>
      </c>
      <c r="P91" s="3" t="s">
        <v>164</v>
      </c>
      <c r="Q91" s="3"/>
      <c r="R91" s="3"/>
      <c r="S91" s="3"/>
      <c r="T91" s="31" t="s">
        <v>32</v>
      </c>
      <c r="U91" s="52">
        <f>'Referenz Pflasterwerk'!AB16</f>
        <v>2745</v>
      </c>
      <c r="V91" s="52">
        <f>S169+S174</f>
        <v>2745</v>
      </c>
      <c r="W91" s="52">
        <f>S247+S252</f>
        <v>2745</v>
      </c>
      <c r="X91" s="3"/>
      <c r="Y91" s="115"/>
      <c r="Z91" s="115"/>
      <c r="AA91" s="63"/>
    </row>
    <row r="92" spans="2:27" ht="15.75" x14ac:dyDescent="0.3">
      <c r="B92" s="3"/>
      <c r="C92" s="3"/>
      <c r="D92" s="29" t="str">
        <f>C188</f>
        <v>Zement</v>
      </c>
      <c r="E92" s="26">
        <f>'Referenz Pflasterwerk'!S35</f>
        <v>7683.24</v>
      </c>
      <c r="F92" s="26">
        <f>H188</f>
        <v>7529.5751999999993</v>
      </c>
      <c r="G92" s="26">
        <f>H267</f>
        <v>7299.0780000000004</v>
      </c>
      <c r="H92" s="25" t="s">
        <v>164</v>
      </c>
      <c r="I92" s="3"/>
      <c r="J92" s="3"/>
      <c r="K92" s="3"/>
      <c r="L92" s="29" t="s">
        <v>29</v>
      </c>
      <c r="M92" s="26">
        <f>'Referenz Pflasterwerk'!S74</f>
        <v>10520.622960446901</v>
      </c>
      <c r="N92" s="26">
        <f>H231</f>
        <v>10356.828894465081</v>
      </c>
      <c r="O92" s="26">
        <f>H310</f>
        <v>10112.889979082946</v>
      </c>
      <c r="P92" s="25" t="s">
        <v>164</v>
      </c>
      <c r="Q92" s="3"/>
      <c r="R92" s="3"/>
      <c r="S92" s="3"/>
      <c r="T92" s="31" t="s">
        <v>33</v>
      </c>
      <c r="U92" s="52">
        <f>'Referenz Pflasterwerk'!AB17</f>
        <v>460</v>
      </c>
      <c r="V92" s="52">
        <f>S170+S175</f>
        <v>460</v>
      </c>
      <c r="W92" s="52">
        <f>S248+S253</f>
        <v>460</v>
      </c>
      <c r="X92" s="3"/>
      <c r="Y92" s="115"/>
      <c r="Z92" s="115"/>
      <c r="AA92" s="63"/>
    </row>
    <row r="93" spans="2:27" ht="16.5" thickBot="1" x14ac:dyDescent="0.35">
      <c r="B93" s="3"/>
      <c r="C93" s="3"/>
      <c r="D93" s="8" t="str">
        <f>C194</f>
        <v>Gesteinskörnungen (Zuschlagsstoffe)</v>
      </c>
      <c r="E93" s="9">
        <f>'Referenz Pflasterwerk'!S41</f>
        <v>387.03000000000003</v>
      </c>
      <c r="F93" s="9">
        <f>H194</f>
        <v>387.03000000000003</v>
      </c>
      <c r="G93" s="9">
        <f>H273</f>
        <v>387.03000000000003</v>
      </c>
      <c r="H93" s="3" t="s">
        <v>164</v>
      </c>
      <c r="I93" s="3"/>
      <c r="J93" s="3"/>
      <c r="K93" s="3"/>
      <c r="L93" s="27" t="s">
        <v>70</v>
      </c>
      <c r="M93" s="28">
        <f>SUM(M90:M92)</f>
        <v>10913.723840606901</v>
      </c>
      <c r="N93" s="28">
        <f t="shared" ref="N93:O93" si="1">SUM(N90:N92)</f>
        <v>10671.583853106271</v>
      </c>
      <c r="O93" s="28">
        <f t="shared" si="1"/>
        <v>10322.078450653129</v>
      </c>
      <c r="P93" s="27" t="s">
        <v>165</v>
      </c>
      <c r="Q93" s="3"/>
      <c r="R93" s="3"/>
      <c r="S93" s="3"/>
      <c r="T93" s="31" t="s">
        <v>34</v>
      </c>
      <c r="U93" s="52">
        <f>'Referenz Pflasterwerk'!AB18</f>
        <v>129000</v>
      </c>
      <c r="V93" s="52">
        <f>S171+S177</f>
        <v>129000</v>
      </c>
      <c r="W93" s="52">
        <f>S249+S255</f>
        <v>129000</v>
      </c>
      <c r="X93" s="3"/>
      <c r="Y93" s="115"/>
      <c r="Z93" s="115"/>
      <c r="AA93" s="63"/>
    </row>
    <row r="94" spans="2:27" ht="16.5" thickTop="1" x14ac:dyDescent="0.3">
      <c r="B94" s="3"/>
      <c r="C94" s="3"/>
      <c r="D94" s="29" t="str">
        <f>D199</f>
        <v>Farben</v>
      </c>
      <c r="E94" s="26">
        <f>'Referenz Pflasterwerk'!S46</f>
        <v>1040</v>
      </c>
      <c r="F94" s="26">
        <f>H199</f>
        <v>1040</v>
      </c>
      <c r="G94" s="26">
        <f>H278</f>
        <v>1040</v>
      </c>
      <c r="H94" s="25" t="s">
        <v>164</v>
      </c>
      <c r="I94" s="3"/>
      <c r="J94" s="3"/>
      <c r="K94" s="3"/>
      <c r="L94" s="3"/>
      <c r="M94" s="3"/>
      <c r="N94" s="3"/>
      <c r="O94" s="3"/>
      <c r="P94" s="3"/>
      <c r="Q94" s="3"/>
      <c r="R94" s="3"/>
      <c r="S94" s="3"/>
      <c r="T94" s="31" t="s">
        <v>125</v>
      </c>
      <c r="U94" s="52">
        <f>'Referenz Pflasterwerk'!AB19</f>
        <v>0</v>
      </c>
      <c r="V94" s="52">
        <f>S178</f>
        <v>0</v>
      </c>
      <c r="W94" s="52">
        <f>S256</f>
        <v>0</v>
      </c>
      <c r="X94" s="3"/>
      <c r="Y94" s="115"/>
      <c r="Z94" s="115"/>
      <c r="AA94" s="63"/>
    </row>
    <row r="95" spans="2:27" ht="15.75" x14ac:dyDescent="0.3">
      <c r="B95" s="3"/>
      <c r="C95" s="3"/>
      <c r="D95" s="8" t="str">
        <f>C201</f>
        <v>Zusatzstoffe (Füllstoffe)</v>
      </c>
      <c r="E95" s="9">
        <f>'Referenz Pflasterwerk'!S48</f>
        <v>424.19999999999993</v>
      </c>
      <c r="F95" s="9">
        <f>H201</f>
        <v>425.55599999999998</v>
      </c>
      <c r="G95" s="9">
        <f>H280</f>
        <v>427.59</v>
      </c>
      <c r="H95" s="3" t="s">
        <v>164</v>
      </c>
      <c r="I95" s="3"/>
      <c r="J95" s="3"/>
      <c r="K95" s="3"/>
      <c r="L95" s="3"/>
      <c r="M95" s="3"/>
      <c r="N95" s="3"/>
      <c r="O95" s="3"/>
      <c r="P95" s="3"/>
      <c r="Q95" s="3"/>
      <c r="R95" s="3"/>
      <c r="S95" s="3"/>
      <c r="T95" s="31" t="s">
        <v>126</v>
      </c>
      <c r="U95" s="52">
        <f>'Referenz Pflasterwerk'!AB20</f>
        <v>0</v>
      </c>
      <c r="V95" s="52">
        <f>S172</f>
        <v>0</v>
      </c>
      <c r="W95" s="52">
        <f>S250</f>
        <v>0</v>
      </c>
      <c r="X95" s="3"/>
      <c r="Y95" s="115"/>
      <c r="Z95" s="115"/>
      <c r="AA95" s="63"/>
    </row>
    <row r="96" spans="2:27" ht="15.75" x14ac:dyDescent="0.3">
      <c r="B96" s="3"/>
      <c r="C96" s="3"/>
      <c r="D96" s="29" t="str">
        <f>C206</f>
        <v>Zusatzmittel</v>
      </c>
      <c r="E96" s="26">
        <f>'Referenz Pflasterwerk'!S53</f>
        <v>185.55932668689491</v>
      </c>
      <c r="F96" s="26">
        <f>H206</f>
        <v>185.55932668689491</v>
      </c>
      <c r="G96" s="26">
        <f>H285</f>
        <v>185.55932668689491</v>
      </c>
      <c r="H96" s="25" t="s">
        <v>164</v>
      </c>
      <c r="I96" s="3"/>
      <c r="J96" s="3"/>
      <c r="K96" s="3"/>
      <c r="L96" s="23" t="s">
        <v>264</v>
      </c>
      <c r="M96" s="24"/>
      <c r="N96" s="24"/>
      <c r="O96" s="24"/>
      <c r="P96" s="24"/>
      <c r="Q96" s="3"/>
      <c r="R96" s="3"/>
      <c r="S96" s="3"/>
      <c r="T96" s="31" t="s">
        <v>463</v>
      </c>
      <c r="U96" s="52">
        <f>'Referenz Pflasterwerk'!AB21</f>
        <v>0</v>
      </c>
      <c r="V96" s="52">
        <f>S179</f>
        <v>0</v>
      </c>
      <c r="W96" s="52">
        <f>S257</f>
        <v>0</v>
      </c>
      <c r="X96" s="3"/>
      <c r="Y96" s="115"/>
      <c r="Z96" s="115"/>
      <c r="AA96" s="63"/>
    </row>
    <row r="97" spans="2:27" ht="15.75" x14ac:dyDescent="0.3">
      <c r="B97" s="3"/>
      <c r="C97" s="3"/>
      <c r="D97" s="8" t="str">
        <f>C212</f>
        <v>Zusätzliche Ersatzstoffe</v>
      </c>
      <c r="E97" s="9">
        <v>0</v>
      </c>
      <c r="F97" s="9">
        <f>H212</f>
        <v>0</v>
      </c>
      <c r="G97" s="9">
        <f>H291</f>
        <v>0</v>
      </c>
      <c r="H97" s="3" t="s">
        <v>164</v>
      </c>
      <c r="I97" s="3"/>
      <c r="J97" s="3"/>
      <c r="K97" s="387" t="s">
        <v>147</v>
      </c>
      <c r="L97" s="46"/>
      <c r="M97" s="46">
        <v>2020</v>
      </c>
      <c r="N97" s="47">
        <v>2025</v>
      </c>
      <c r="O97" s="47">
        <v>2030</v>
      </c>
      <c r="P97" s="34"/>
      <c r="Q97" s="3"/>
      <c r="R97" s="3"/>
      <c r="S97" s="3"/>
      <c r="T97" s="51" t="s">
        <v>35</v>
      </c>
      <c r="U97" s="53">
        <f>'Referenz Pflasterwerk'!AB22</f>
        <v>40464.000000000007</v>
      </c>
      <c r="V97" s="54">
        <f>S181+S182</f>
        <v>40464</v>
      </c>
      <c r="W97" s="54">
        <f>S259+S260</f>
        <v>40464</v>
      </c>
      <c r="X97" s="3"/>
      <c r="Y97" s="115"/>
      <c r="Z97" s="115"/>
      <c r="AA97" s="63"/>
    </row>
    <row r="98" spans="2:27" ht="15.75" x14ac:dyDescent="0.3">
      <c r="B98" s="3"/>
      <c r="C98" s="3"/>
      <c r="D98" s="29" t="s">
        <v>194</v>
      </c>
      <c r="E98" s="26">
        <f>'Referenz Pflasterwerk'!S59+'Referenz Pflasterwerk'!S60</f>
        <v>5.4399999999999997E-2</v>
      </c>
      <c r="F98" s="26">
        <f>H216+H217</f>
        <v>5.4399999999999997E-2</v>
      </c>
      <c r="G98" s="26">
        <f>H295+H296</f>
        <v>5.4399999999999997E-2</v>
      </c>
      <c r="H98" s="25" t="s">
        <v>164</v>
      </c>
      <c r="I98" s="3"/>
      <c r="J98" s="3"/>
      <c r="K98" s="387"/>
      <c r="L98" s="24"/>
      <c r="M98" s="48" t="s">
        <v>92</v>
      </c>
      <c r="N98" s="49"/>
      <c r="O98" s="49"/>
      <c r="P98" s="24"/>
      <c r="Q98" s="3"/>
      <c r="R98" s="3"/>
      <c r="S98" s="3"/>
      <c r="T98" s="8" t="s">
        <v>31</v>
      </c>
      <c r="U98" s="55">
        <v>0</v>
      </c>
      <c r="V98" s="55">
        <f>S185</f>
        <v>0</v>
      </c>
      <c r="W98" s="55">
        <f>S263</f>
        <v>0</v>
      </c>
      <c r="X98" s="3"/>
      <c r="Y98" s="115"/>
      <c r="Z98" s="115"/>
      <c r="AA98" s="63"/>
    </row>
    <row r="99" spans="2:27" ht="15.75" x14ac:dyDescent="0.3">
      <c r="B99" s="3"/>
      <c r="C99" s="3"/>
      <c r="D99" s="8" t="str">
        <f>C219</f>
        <v>Oberflächenschutzsysteme</v>
      </c>
      <c r="E99" s="9">
        <f>'Referenz Pflasterwerk'!S62</f>
        <v>0</v>
      </c>
      <c r="F99" s="9">
        <f>H219</f>
        <v>0</v>
      </c>
      <c r="G99" s="9">
        <f>H298</f>
        <v>0</v>
      </c>
      <c r="H99" s="3" t="s">
        <v>164</v>
      </c>
      <c r="I99" s="3"/>
      <c r="J99" s="3"/>
      <c r="K99" s="3"/>
      <c r="L99" s="29" t="s">
        <v>32</v>
      </c>
      <c r="M99" s="32">
        <f>'Referenz Pflasterwerk'!$U$16+'Referenz Pflasterwerk'!U21</f>
        <v>8.2422000000000004</v>
      </c>
      <c r="N99" s="32">
        <f>J170+J175</f>
        <v>8.2422000000000004</v>
      </c>
      <c r="O99" s="32">
        <f>J249+J254</f>
        <v>8.2422000000000004</v>
      </c>
      <c r="P99" s="25" t="s">
        <v>164</v>
      </c>
      <c r="Q99" s="3"/>
      <c r="R99" s="3"/>
      <c r="S99" s="3"/>
      <c r="T99" s="8" t="s">
        <v>155</v>
      </c>
      <c r="U99" s="55">
        <v>0</v>
      </c>
      <c r="V99" s="55">
        <f>S186</f>
        <v>0</v>
      </c>
      <c r="W99" s="55">
        <f>S264</f>
        <v>0</v>
      </c>
      <c r="X99" s="3"/>
      <c r="Y99" s="115"/>
      <c r="Z99" s="115"/>
      <c r="AA99" s="63"/>
    </row>
    <row r="100" spans="2:27" ht="15.75" x14ac:dyDescent="0.3">
      <c r="B100" s="3"/>
      <c r="C100" s="3"/>
      <c r="D100" s="29" t="str">
        <f>C224</f>
        <v>Oberflächenbearbeitung (vor/nach Erhärtung)</v>
      </c>
      <c r="E100" s="26">
        <f>'Referenz Pflasterwerk'!S67</f>
        <v>0</v>
      </c>
      <c r="F100" s="26">
        <f>H224</f>
        <v>0</v>
      </c>
      <c r="G100" s="26">
        <f>H303</f>
        <v>0</v>
      </c>
      <c r="H100" s="25" t="s">
        <v>164</v>
      </c>
      <c r="I100" s="3"/>
      <c r="J100" s="3"/>
      <c r="K100" s="3"/>
      <c r="L100" s="8" t="s">
        <v>33</v>
      </c>
      <c r="M100" s="10">
        <f>'Referenz Pflasterwerk'!$U$17+'Referenz Pflasterwerk'!U22</f>
        <v>2.6676000000000002</v>
      </c>
      <c r="N100" s="10">
        <f>J171+J176</f>
        <v>2.6676000000000002</v>
      </c>
      <c r="O100" s="10">
        <f>J250+J255</f>
        <v>2.6676000000000002</v>
      </c>
      <c r="P100" s="3" t="s">
        <v>164</v>
      </c>
      <c r="Q100" s="3"/>
      <c r="R100" s="3"/>
      <c r="S100" s="3"/>
      <c r="T100" s="59" t="s">
        <v>162</v>
      </c>
      <c r="U100" s="61">
        <v>0</v>
      </c>
      <c r="V100" s="61">
        <f>S187</f>
        <v>0</v>
      </c>
      <c r="W100" s="61">
        <f>S265</f>
        <v>0</v>
      </c>
      <c r="X100" s="3"/>
      <c r="Y100" s="115"/>
      <c r="Z100" s="115"/>
      <c r="AA100" s="63"/>
    </row>
    <row r="101" spans="2:27" ht="15.75" x14ac:dyDescent="0.3">
      <c r="B101" s="3"/>
      <c r="C101" s="3"/>
      <c r="D101" s="8" t="str">
        <f>D229</f>
        <v>Verpackungsmaterial</v>
      </c>
      <c r="E101" s="9">
        <f>'Referenz Pflasterwerk'!S72</f>
        <v>161.20000000000002</v>
      </c>
      <c r="F101" s="9">
        <f>H229</f>
        <v>161.20000000000002</v>
      </c>
      <c r="G101" s="9">
        <f>H308</f>
        <v>161.20000000000002</v>
      </c>
      <c r="H101" s="3" t="s">
        <v>164</v>
      </c>
      <c r="I101" s="3"/>
      <c r="J101" s="3"/>
      <c r="K101" s="3"/>
      <c r="L101" s="29" t="s">
        <v>34</v>
      </c>
      <c r="M101" s="32">
        <f>'Referenz Pflasterwerk'!$U$18+'Referenz Pflasterwerk'!R24</f>
        <v>286.5</v>
      </c>
      <c r="N101" s="32">
        <f>J172+J178</f>
        <v>208.15407848118898</v>
      </c>
      <c r="O101" s="32">
        <f>J251+J257</f>
        <v>102.58759141018427</v>
      </c>
      <c r="P101" s="25" t="s">
        <v>164</v>
      </c>
      <c r="Q101" s="3"/>
      <c r="R101" s="3"/>
      <c r="S101" s="3"/>
      <c r="T101" s="57" t="s">
        <v>156</v>
      </c>
      <c r="U101" s="58">
        <f>SUM(U102:U104)</f>
        <v>272843.09601517254</v>
      </c>
      <c r="V101" s="58">
        <f t="shared" ref="V101:W101" si="2">SUM(V102:V104)</f>
        <v>480221.27338978217</v>
      </c>
      <c r="W101" s="58">
        <f t="shared" si="2"/>
        <v>825766.27605225041</v>
      </c>
      <c r="X101" s="3"/>
      <c r="Y101" s="115"/>
      <c r="Z101" s="115"/>
      <c r="AA101" s="63"/>
    </row>
    <row r="102" spans="2:27" ht="16.5" thickBot="1" x14ac:dyDescent="0.35">
      <c r="B102" s="3"/>
      <c r="C102" s="3"/>
      <c r="D102" s="27" t="s">
        <v>70</v>
      </c>
      <c r="E102" s="28">
        <f>SUM(E90:E101)</f>
        <v>10520.622960446897</v>
      </c>
      <c r="F102" s="28">
        <f>SUM(F90:F101)</f>
        <v>10356.828894465081</v>
      </c>
      <c r="G102" s="28">
        <f>SUM(G90:G101)</f>
        <v>10112.889979082946</v>
      </c>
      <c r="H102" s="27" t="s">
        <v>165</v>
      </c>
      <c r="I102" s="3"/>
      <c r="J102" s="3"/>
      <c r="K102" s="3"/>
      <c r="L102" s="8" t="s">
        <v>129</v>
      </c>
      <c r="M102" s="10">
        <f>'Referenz Pflasterwerk'!$U$19</f>
        <v>0</v>
      </c>
      <c r="N102" s="10">
        <f>J173</f>
        <v>0</v>
      </c>
      <c r="O102" s="10">
        <f>J252</f>
        <v>0</v>
      </c>
      <c r="P102" s="3" t="s">
        <v>164</v>
      </c>
      <c r="Q102" s="3"/>
      <c r="R102" s="3"/>
      <c r="S102" s="3"/>
      <c r="T102" s="31" t="s">
        <v>157</v>
      </c>
      <c r="U102" s="52">
        <f>'Referenz Pflasterwerk'!AB26</f>
        <v>2665.0220039999999</v>
      </c>
      <c r="V102" s="52">
        <f>S190</f>
        <v>4797.0396071999994</v>
      </c>
      <c r="W102" s="52">
        <f>S268</f>
        <v>8528.0704127999998</v>
      </c>
      <c r="X102" s="3"/>
      <c r="Y102" s="115"/>
      <c r="Z102" s="115"/>
      <c r="AA102" s="63"/>
    </row>
    <row r="103" spans="2:27" ht="16.5" thickTop="1" x14ac:dyDescent="0.3">
      <c r="B103" s="3"/>
      <c r="C103" s="3"/>
      <c r="D103" s="3"/>
      <c r="E103" s="3"/>
      <c r="F103" s="3"/>
      <c r="G103" s="3"/>
      <c r="H103" s="3"/>
      <c r="I103" s="3"/>
      <c r="J103" s="3"/>
      <c r="K103" s="3"/>
      <c r="L103" s="29" t="s">
        <v>125</v>
      </c>
      <c r="M103" s="32">
        <f>'Referenz Pflasterwerk'!$U$25</f>
        <v>0</v>
      </c>
      <c r="N103" s="32">
        <f>J179</f>
        <v>0</v>
      </c>
      <c r="O103" s="32">
        <f>J258</f>
        <v>0</v>
      </c>
      <c r="P103" s="25" t="s">
        <v>164</v>
      </c>
      <c r="Q103" s="3"/>
      <c r="R103" s="3"/>
      <c r="S103" s="3"/>
      <c r="T103" s="31" t="s">
        <v>158</v>
      </c>
      <c r="U103" s="52">
        <f>'Referenz Pflasterwerk'!AB27</f>
        <v>7162.5</v>
      </c>
      <c r="V103" s="52">
        <f>S191</f>
        <v>9366.9335316535035</v>
      </c>
      <c r="W103" s="52">
        <f>S269</f>
        <v>8207.0073128147415</v>
      </c>
      <c r="X103" s="3"/>
      <c r="Y103" s="115"/>
      <c r="Z103" s="115"/>
      <c r="AA103" s="63"/>
    </row>
    <row r="104" spans="2:27" ht="15.75" x14ac:dyDescent="0.3">
      <c r="B104" s="3"/>
      <c r="C104" s="3"/>
      <c r="D104" s="3"/>
      <c r="E104" s="3"/>
      <c r="F104" s="3"/>
      <c r="G104" s="3"/>
      <c r="H104" s="3"/>
      <c r="I104" s="3"/>
      <c r="J104" s="3"/>
      <c r="K104" s="3"/>
      <c r="L104" s="8" t="s">
        <v>151</v>
      </c>
      <c r="M104" s="10">
        <f>'Referenz Pflasterwerk'!$U$26</f>
        <v>0</v>
      </c>
      <c r="N104" s="10">
        <f>J180</f>
        <v>0</v>
      </c>
      <c r="O104" s="10">
        <f>J259</f>
        <v>0</v>
      </c>
      <c r="P104" s="3" t="s">
        <v>164</v>
      </c>
      <c r="Q104" s="3"/>
      <c r="R104" s="3"/>
      <c r="S104" s="3"/>
      <c r="T104" s="31" t="s">
        <v>159</v>
      </c>
      <c r="U104" s="52">
        <f>'Referenz Pflasterwerk'!AB28</f>
        <v>263015.57401117252</v>
      </c>
      <c r="V104" s="52">
        <f>S192</f>
        <v>466057.30025092867</v>
      </c>
      <c r="W104" s="52">
        <f>S270</f>
        <v>809031.19832663564</v>
      </c>
      <c r="X104" s="3"/>
      <c r="Y104" s="115"/>
      <c r="Z104" s="115"/>
      <c r="AA104" s="63"/>
    </row>
    <row r="105" spans="2:27" ht="16.5" thickBot="1" x14ac:dyDescent="0.35">
      <c r="B105" s="3"/>
      <c r="C105" s="3"/>
      <c r="D105" s="3"/>
      <c r="E105" s="3"/>
      <c r="F105" s="3"/>
      <c r="G105" s="3"/>
      <c r="H105" s="3"/>
      <c r="I105" s="3"/>
      <c r="J105" s="3"/>
      <c r="K105" s="3"/>
      <c r="L105" s="29" t="s">
        <v>35</v>
      </c>
      <c r="M105" s="32">
        <f>'Referenz Pflasterwerk'!$U$28+'Referenz Pflasterwerk'!$U$29</f>
        <v>95.691080159999984</v>
      </c>
      <c r="N105" s="32">
        <f>J182+J183</f>
        <v>95.691080159999984</v>
      </c>
      <c r="O105" s="32">
        <f>J261+J262</f>
        <v>95.691080159999984</v>
      </c>
      <c r="P105" s="25" t="s">
        <v>164</v>
      </c>
      <c r="Q105" s="3"/>
      <c r="R105" s="3"/>
      <c r="S105" s="3"/>
      <c r="T105" s="27" t="s">
        <v>70</v>
      </c>
      <c r="U105" s="56">
        <f>U101+U100+U99+U98+U90</f>
        <v>445512.09601517254</v>
      </c>
      <c r="V105" s="56">
        <f t="shared" ref="V105:W105" si="3">V101+V100+V99+V98+V90</f>
        <v>652890.27338978217</v>
      </c>
      <c r="W105" s="56">
        <f t="shared" si="3"/>
        <v>998435.27605225041</v>
      </c>
      <c r="X105" s="3"/>
      <c r="Y105" s="115"/>
      <c r="Z105" s="115"/>
      <c r="AA105" s="63"/>
    </row>
    <row r="106" spans="2:27" ht="15.75" thickTop="1" thickBot="1" x14ac:dyDescent="0.3">
      <c r="B106" s="3"/>
      <c r="C106" s="3"/>
      <c r="D106" s="3"/>
      <c r="E106" s="3"/>
      <c r="F106" s="3"/>
      <c r="G106" s="3"/>
      <c r="H106" s="3"/>
      <c r="I106" s="3"/>
      <c r="J106" s="3"/>
      <c r="K106" s="3"/>
      <c r="L106" s="27" t="s">
        <v>70</v>
      </c>
      <c r="M106" s="33">
        <f>SUM(M99:M105)</f>
        <v>393.10088015999997</v>
      </c>
      <c r="N106" s="33">
        <f>SUM(N99:N105)</f>
        <v>314.75495864118898</v>
      </c>
      <c r="O106" s="33">
        <f>SUM(O99:O105)</f>
        <v>209.18847157018428</v>
      </c>
      <c r="P106" s="27" t="s">
        <v>165</v>
      </c>
      <c r="Q106" s="3"/>
      <c r="R106" s="3"/>
      <c r="S106" s="3"/>
      <c r="T106" s="3"/>
      <c r="U106" s="3"/>
      <c r="V106" s="3"/>
      <c r="W106" s="3"/>
      <c r="X106" s="3"/>
      <c r="Y106" s="63"/>
      <c r="Z106" s="63"/>
      <c r="AA106" s="63"/>
    </row>
    <row r="107" spans="2:27" ht="17.25" thickTop="1" thickBot="1" x14ac:dyDescent="0.35">
      <c r="B107" s="3"/>
      <c r="C107" s="3"/>
      <c r="D107" s="3"/>
      <c r="E107" s="3"/>
      <c r="F107" s="3"/>
      <c r="G107" s="3"/>
      <c r="H107" s="3"/>
      <c r="I107" s="3"/>
      <c r="J107" s="3"/>
      <c r="K107" s="3"/>
      <c r="L107" s="3"/>
      <c r="M107" s="3"/>
      <c r="N107" s="3"/>
      <c r="O107" s="3"/>
      <c r="P107" s="3"/>
      <c r="Q107" s="3"/>
      <c r="R107" s="3"/>
      <c r="S107" s="3"/>
      <c r="T107" s="104" t="s">
        <v>211</v>
      </c>
      <c r="U107" s="105">
        <f>U105-U104</f>
        <v>182496.52200400003</v>
      </c>
      <c r="V107" s="105">
        <f>V105-V104</f>
        <v>186832.9731388535</v>
      </c>
      <c r="W107" s="105">
        <f>W105-W104</f>
        <v>189404.07772561477</v>
      </c>
      <c r="X107" s="3"/>
      <c r="Y107" s="3"/>
      <c r="Z107" s="3"/>
      <c r="AA107" s="3"/>
    </row>
    <row r="108" spans="2:27" ht="16.5" thickBot="1" x14ac:dyDescent="0.35">
      <c r="B108" s="3"/>
      <c r="C108" s="3"/>
      <c r="D108" s="3"/>
      <c r="E108" s="3"/>
      <c r="F108" s="3"/>
      <c r="G108" s="3"/>
      <c r="H108" s="3"/>
      <c r="I108" s="3"/>
      <c r="J108" s="3"/>
      <c r="K108" s="3"/>
      <c r="L108" s="3"/>
      <c r="M108" s="3"/>
      <c r="N108" s="3"/>
      <c r="O108" s="3"/>
      <c r="P108" s="3"/>
      <c r="Q108" s="3"/>
      <c r="R108" s="3"/>
      <c r="S108" s="3"/>
      <c r="T108" s="106" t="s">
        <v>161</v>
      </c>
      <c r="U108" s="107">
        <f>U105-U101</f>
        <v>172669</v>
      </c>
      <c r="V108" s="107">
        <f>V105-V101</f>
        <v>172669</v>
      </c>
      <c r="W108" s="107">
        <f>W105-W101</f>
        <v>172669</v>
      </c>
      <c r="X108" s="3"/>
      <c r="Y108" s="3"/>
      <c r="Z108" s="3"/>
      <c r="AA108" s="3"/>
    </row>
    <row r="109" spans="2:27"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2:27"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2:27" x14ac:dyDescent="0.2">
      <c r="B111" s="3"/>
      <c r="C111" s="3"/>
      <c r="D111" s="3"/>
      <c r="E111" s="3"/>
      <c r="F111" s="3"/>
      <c r="G111" s="3"/>
      <c r="H111" s="3"/>
      <c r="I111" s="3"/>
      <c r="J111" s="3"/>
      <c r="K111" s="3"/>
      <c r="L111" s="8"/>
      <c r="M111" s="82"/>
      <c r="N111" s="82"/>
      <c r="O111" s="82"/>
      <c r="P111" s="8"/>
      <c r="Q111" s="3"/>
      <c r="R111" s="3"/>
      <c r="S111" s="3"/>
      <c r="T111" s="3"/>
      <c r="U111" s="3"/>
      <c r="V111" s="3"/>
      <c r="W111" s="3"/>
      <c r="X111" s="3"/>
      <c r="Y111" s="3"/>
      <c r="Z111" s="3"/>
      <c r="AA111" s="3"/>
    </row>
    <row r="112" spans="2:27" x14ac:dyDescent="0.2">
      <c r="B112" s="3"/>
      <c r="C112" s="3"/>
      <c r="D112" s="3"/>
      <c r="E112" s="3"/>
      <c r="F112" s="3"/>
      <c r="G112" s="3"/>
      <c r="H112" s="3"/>
      <c r="I112" s="3"/>
      <c r="J112" s="3"/>
      <c r="K112" s="3"/>
      <c r="L112" s="8"/>
      <c r="M112" s="82"/>
      <c r="N112" s="82"/>
      <c r="O112" s="82"/>
      <c r="P112" s="8"/>
      <c r="Q112" s="3"/>
      <c r="R112" s="3"/>
      <c r="S112" s="3"/>
      <c r="T112" s="3"/>
      <c r="U112" s="3"/>
      <c r="V112" s="3"/>
      <c r="W112" s="3"/>
      <c r="X112" s="3"/>
      <c r="Y112" s="3"/>
      <c r="Z112" s="3"/>
      <c r="AA112" s="3"/>
    </row>
    <row r="113" spans="2:27" ht="15" x14ac:dyDescent="0.25">
      <c r="B113" s="3"/>
      <c r="C113" s="3"/>
      <c r="D113" s="3"/>
      <c r="E113" s="3"/>
      <c r="F113" s="3"/>
      <c r="G113" s="3"/>
      <c r="H113" s="3"/>
      <c r="I113" s="3"/>
      <c r="J113" s="3"/>
      <c r="K113" s="3"/>
      <c r="L113" s="23" t="s">
        <v>209</v>
      </c>
      <c r="M113" s="3"/>
      <c r="N113" s="3"/>
      <c r="O113" s="3"/>
      <c r="P113" s="3"/>
      <c r="Q113" s="3"/>
      <c r="R113" s="3"/>
      <c r="S113" s="3"/>
      <c r="T113" s="3"/>
      <c r="U113" s="3"/>
      <c r="V113" s="3"/>
      <c r="W113" s="3"/>
      <c r="X113" s="3"/>
      <c r="Y113" s="3"/>
      <c r="Z113" s="3"/>
      <c r="AA113" s="3"/>
    </row>
    <row r="114" spans="2:27" ht="15" x14ac:dyDescent="0.25">
      <c r="B114" s="3"/>
      <c r="C114" s="3"/>
      <c r="D114" s="3"/>
      <c r="E114" s="3"/>
      <c r="F114" s="3"/>
      <c r="G114" s="3"/>
      <c r="H114" s="3"/>
      <c r="I114" s="3"/>
      <c r="J114" s="3"/>
      <c r="K114" s="3"/>
      <c r="L114" s="34"/>
      <c r="M114" s="46">
        <v>2020</v>
      </c>
      <c r="N114" s="47">
        <v>2025</v>
      </c>
      <c r="O114" s="47">
        <v>2030</v>
      </c>
      <c r="P114" s="34"/>
      <c r="Q114" s="3"/>
      <c r="R114" s="3"/>
      <c r="S114" s="3"/>
      <c r="T114" s="3"/>
      <c r="U114" s="3"/>
      <c r="V114" s="3"/>
      <c r="W114" s="3"/>
      <c r="X114" s="3"/>
      <c r="Y114" s="3"/>
      <c r="Z114" s="3"/>
      <c r="AA114" s="3"/>
    </row>
    <row r="115" spans="2:27" x14ac:dyDescent="0.2">
      <c r="B115" s="3"/>
      <c r="C115" s="3"/>
      <c r="D115" s="3"/>
      <c r="E115" s="3"/>
      <c r="F115" s="3"/>
      <c r="G115" s="3"/>
      <c r="H115" s="3"/>
      <c r="I115" s="3"/>
      <c r="J115" s="3"/>
      <c r="K115" s="3"/>
      <c r="L115" s="24"/>
      <c r="M115" s="48" t="s">
        <v>92</v>
      </c>
      <c r="N115" s="49"/>
      <c r="O115" s="49"/>
      <c r="P115" s="24"/>
      <c r="Q115" s="3"/>
      <c r="R115" s="3"/>
      <c r="S115" s="3"/>
      <c r="T115" s="3"/>
      <c r="U115" s="3"/>
      <c r="V115" s="3"/>
      <c r="W115" s="3"/>
      <c r="X115" s="3"/>
      <c r="Y115" s="3"/>
      <c r="Z115" s="3"/>
      <c r="AA115" s="3"/>
    </row>
    <row r="116" spans="2:27" ht="15.75" x14ac:dyDescent="0.3">
      <c r="B116" s="3"/>
      <c r="C116" s="3"/>
      <c r="D116" s="3"/>
      <c r="E116" s="3"/>
      <c r="F116" s="3"/>
      <c r="G116" s="3"/>
      <c r="H116" s="3"/>
      <c r="I116" s="3"/>
      <c r="J116" s="3"/>
      <c r="K116" s="3"/>
      <c r="L116" s="29" t="s">
        <v>118</v>
      </c>
      <c r="M116" s="97">
        <f>M90/IF(NOT(ISBLANK('Referenz Pflasterwerk'!$I$12)),'Referenz Pflasterwerk'!$I$12,'Referenz Pflasterwerk'!$F$12)</f>
        <v>1.0660088015999999E-3</v>
      </c>
      <c r="N116" s="97">
        <f>N90/IF(NOT(ISBLANK('Referenz Pflasterwerk'!$I$12)),'Referenz Pflasterwerk'!$I$12,'Referenz Pflasterwerk'!$F$12)</f>
        <v>1.0660088015999999E-3</v>
      </c>
      <c r="O116" s="97">
        <f>O90/IF(NOT(ISBLANK('Referenz Pflasterwerk'!$I$12)),'Referenz Pflasterwerk'!$I$12,'Referenz Pflasterwerk'!$F$12)</f>
        <v>1.0660088015999999E-3</v>
      </c>
      <c r="P116" s="25" t="s">
        <v>208</v>
      </c>
      <c r="Q116" s="3"/>
      <c r="R116" s="3"/>
      <c r="S116" s="3"/>
      <c r="T116" s="3"/>
      <c r="U116" s="3"/>
      <c r="V116" s="3"/>
      <c r="W116" s="3"/>
      <c r="X116" s="3"/>
      <c r="Y116" s="3"/>
      <c r="Z116" s="3"/>
      <c r="AA116" s="3"/>
    </row>
    <row r="117" spans="2:27" ht="15.75" x14ac:dyDescent="0.3">
      <c r="B117" s="3"/>
      <c r="C117" s="3"/>
      <c r="D117" s="3"/>
      <c r="E117" s="3"/>
      <c r="F117" s="3"/>
      <c r="G117" s="3"/>
      <c r="H117" s="3"/>
      <c r="I117" s="3"/>
      <c r="J117" s="3"/>
      <c r="K117" s="3"/>
      <c r="L117" s="8" t="s">
        <v>28</v>
      </c>
      <c r="M117" s="98">
        <f>M91/IF(NOT(ISBLANK('Referenz Pflasterwerk'!$I$12)),'Referenz Pflasterwerk'!$I$12,'Referenz Pflasterwerk'!$F$12)</f>
        <v>2.8649999999999999E-3</v>
      </c>
      <c r="N117" s="98">
        <f>N91/IF(NOT(ISBLANK('Referenz Pflasterwerk'!$I$12)),'Referenz Pflasterwerk'!$I$12,'Referenz Pflasterwerk'!$F$12)</f>
        <v>2.0815407848118897E-3</v>
      </c>
      <c r="O117" s="98">
        <f>O91/IF(NOT(ISBLANK('Referenz Pflasterwerk'!$I$12)),'Referenz Pflasterwerk'!$I$12,'Referenz Pflasterwerk'!$F$12)</f>
        <v>1.0258759141018427E-3</v>
      </c>
      <c r="P117" s="3" t="s">
        <v>208</v>
      </c>
      <c r="Q117" s="3"/>
      <c r="R117" s="3"/>
      <c r="S117" s="3"/>
      <c r="T117" s="3"/>
      <c r="U117" s="3"/>
      <c r="V117" s="3"/>
      <c r="W117" s="3"/>
      <c r="X117" s="3"/>
      <c r="Y117" s="3"/>
      <c r="Z117" s="3"/>
      <c r="AA117" s="3"/>
    </row>
    <row r="118" spans="2:27" ht="15.75" x14ac:dyDescent="0.3">
      <c r="B118" s="3"/>
      <c r="C118" s="3"/>
      <c r="D118" s="3"/>
      <c r="E118" s="3"/>
      <c r="F118" s="3"/>
      <c r="G118" s="3"/>
      <c r="H118" s="3"/>
      <c r="I118" s="3"/>
      <c r="J118" s="3"/>
      <c r="K118" s="3"/>
      <c r="L118" s="29" t="s">
        <v>29</v>
      </c>
      <c r="M118" s="97">
        <f>M92/IF(NOT(ISBLANK('Referenz Pflasterwerk'!$I$12)),'Referenz Pflasterwerk'!$I$12,'Referenz Pflasterwerk'!$F$12)</f>
        <v>0.10520622960446901</v>
      </c>
      <c r="N118" s="97">
        <f>N92/IF(NOT(ISBLANK('Referenz Pflasterwerk'!$I$12)),'Referenz Pflasterwerk'!$I$12,'Referenz Pflasterwerk'!$F$12)</f>
        <v>0.10356828894465081</v>
      </c>
      <c r="O118" s="97">
        <f>O92/IF(NOT(ISBLANK('Referenz Pflasterwerk'!$I$12)),'Referenz Pflasterwerk'!$I$12,'Referenz Pflasterwerk'!$F$12)</f>
        <v>0.10112889979082945</v>
      </c>
      <c r="P118" s="25" t="s">
        <v>208</v>
      </c>
      <c r="Q118" s="3"/>
      <c r="R118" s="3"/>
      <c r="S118" s="3"/>
      <c r="T118" s="3"/>
      <c r="U118" s="3"/>
      <c r="V118" s="3"/>
      <c r="W118" s="3"/>
      <c r="X118" s="3"/>
      <c r="Y118" s="3"/>
      <c r="Z118" s="3"/>
      <c r="AA118" s="3"/>
    </row>
    <row r="119" spans="2:27" ht="15" thickBot="1" x14ac:dyDescent="0.3">
      <c r="B119" s="3"/>
      <c r="C119" s="3"/>
      <c r="D119" s="3"/>
      <c r="E119" s="3"/>
      <c r="F119" s="3"/>
      <c r="G119" s="3"/>
      <c r="H119" s="3"/>
      <c r="I119" s="3"/>
      <c r="J119" s="3"/>
      <c r="K119" s="3"/>
      <c r="L119" s="27" t="s">
        <v>70</v>
      </c>
      <c r="M119" s="99">
        <f>M93/IF(NOT(ISBLANK('Referenz Pflasterwerk'!$I$12)),'Referenz Pflasterwerk'!$I$12,'Referenz Pflasterwerk'!$F$12)</f>
        <v>0.10913723840606901</v>
      </c>
      <c r="N119" s="99">
        <f>N93/IF(NOT(ISBLANK('Referenz Pflasterwerk'!$I$12)),'Referenz Pflasterwerk'!$I$12,'Referenz Pflasterwerk'!$F$12)</f>
        <v>0.10671583853106271</v>
      </c>
      <c r="O119" s="99">
        <f>O93/IF(NOT(ISBLANK('Referenz Pflasterwerk'!$I$12)),'Referenz Pflasterwerk'!$I$12,'Referenz Pflasterwerk'!$F$12)</f>
        <v>0.10322078450653129</v>
      </c>
      <c r="P119" s="27" t="s">
        <v>210</v>
      </c>
      <c r="Q119" s="3"/>
      <c r="R119" s="3"/>
      <c r="S119" s="3"/>
      <c r="T119" s="3"/>
      <c r="U119" s="3"/>
      <c r="V119" s="3"/>
      <c r="W119" s="3"/>
      <c r="X119" s="3"/>
      <c r="Y119" s="3"/>
      <c r="Z119" s="3"/>
      <c r="AA119" s="3"/>
    </row>
    <row r="120" spans="2:27" ht="13.5" thickTop="1"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2:27"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2:27"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5" spans="2:27" hidden="1" outlineLevel="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2:27" ht="15.75" hidden="1" outlineLevel="1" x14ac:dyDescent="0.25">
      <c r="B126" s="3"/>
      <c r="C126" s="3"/>
      <c r="D126" s="62" t="s">
        <v>146</v>
      </c>
      <c r="E126" s="3"/>
      <c r="F126" s="3"/>
      <c r="G126" s="3"/>
      <c r="H126" s="3"/>
      <c r="I126" s="3"/>
      <c r="J126" s="3"/>
      <c r="K126" s="3"/>
      <c r="L126" s="62" t="s">
        <v>146</v>
      </c>
      <c r="M126" s="3"/>
      <c r="N126" s="3"/>
      <c r="O126" s="3"/>
      <c r="P126" s="3"/>
      <c r="Q126" s="3"/>
      <c r="R126" s="3"/>
      <c r="S126" s="62" t="s">
        <v>146</v>
      </c>
      <c r="T126" s="24"/>
      <c r="U126" s="24"/>
      <c r="V126" s="24"/>
      <c r="W126" s="24"/>
      <c r="X126" s="3"/>
      <c r="Y126" s="3"/>
    </row>
    <row r="127" spans="2:27" ht="15" hidden="1" outlineLevel="1" x14ac:dyDescent="0.25">
      <c r="B127" s="3"/>
      <c r="C127" s="3"/>
      <c r="D127" s="35" t="s">
        <v>116</v>
      </c>
      <c r="E127" s="35">
        <v>2020</v>
      </c>
      <c r="F127" s="35">
        <v>2025</v>
      </c>
      <c r="G127" s="35">
        <v>2030</v>
      </c>
      <c r="H127" s="34"/>
      <c r="I127" s="3"/>
      <c r="J127" s="3"/>
      <c r="K127" s="3"/>
      <c r="L127" s="35" t="s">
        <v>265</v>
      </c>
      <c r="M127" s="35">
        <v>2020</v>
      </c>
      <c r="N127" s="35">
        <v>2025</v>
      </c>
      <c r="O127" s="35">
        <v>2030</v>
      </c>
      <c r="P127" s="34"/>
      <c r="Q127" s="3"/>
      <c r="R127" s="3"/>
      <c r="S127" s="3"/>
      <c r="T127" s="46" t="s">
        <v>200</v>
      </c>
      <c r="U127" s="47">
        <v>2020</v>
      </c>
      <c r="V127" s="47">
        <v>2025</v>
      </c>
      <c r="W127" s="47">
        <v>2030</v>
      </c>
      <c r="X127" s="3"/>
      <c r="Y127" s="3"/>
    </row>
    <row r="128" spans="2:27" hidden="1" outlineLevel="1" x14ac:dyDescent="0.2">
      <c r="B128" s="3"/>
      <c r="C128" s="3"/>
      <c r="D128" s="24"/>
      <c r="E128" s="60" t="s">
        <v>92</v>
      </c>
      <c r="F128" s="59"/>
      <c r="G128" s="59"/>
      <c r="H128" s="24"/>
      <c r="I128" s="3"/>
      <c r="J128" s="3"/>
      <c r="K128" s="3"/>
      <c r="L128" s="24"/>
      <c r="M128" s="60" t="s">
        <v>92</v>
      </c>
      <c r="N128" s="59"/>
      <c r="O128" s="59"/>
      <c r="P128" s="24"/>
      <c r="Q128" s="3"/>
      <c r="R128" s="3"/>
      <c r="S128" s="3"/>
      <c r="T128" s="24"/>
      <c r="U128" s="50" t="s">
        <v>92</v>
      </c>
      <c r="V128" s="50"/>
      <c r="W128" s="59"/>
      <c r="X128" s="3"/>
      <c r="Y128" s="3"/>
    </row>
    <row r="129" spans="2:25" ht="15.75" hidden="1" outlineLevel="1" x14ac:dyDescent="0.3">
      <c r="B129" s="3"/>
      <c r="C129" s="3"/>
      <c r="D129" s="3" t="str">
        <f t="shared" ref="D129:D135" si="4">IF($I129,L99,"")</f>
        <v>Erdgas</v>
      </c>
      <c r="E129" s="10">
        <f t="shared" ref="E129:G135" si="5">IF($I129,M99,NA())</f>
        <v>8.2422000000000004</v>
      </c>
      <c r="F129" s="10">
        <f t="shared" si="5"/>
        <v>8.2422000000000004</v>
      </c>
      <c r="G129" s="10">
        <f t="shared" si="5"/>
        <v>8.2422000000000004</v>
      </c>
      <c r="H129" s="3" t="s">
        <v>164</v>
      </c>
      <c r="I129" s="3" t="b">
        <v>1</v>
      </c>
      <c r="J129" s="3"/>
      <c r="K129" s="3"/>
      <c r="L129" s="3" t="str">
        <f t="shared" ref="L129:L140" si="6">IF($Q129,D90,"")</f>
        <v>Energieträger gesamt</v>
      </c>
      <c r="M129" s="9">
        <f t="shared" ref="M129:M140" si="7">IF($Q129,E90,NA())</f>
        <v>60.712972560000004</v>
      </c>
      <c r="N129" s="9">
        <f t="shared" ref="N129:N140" si="8">IF($Q129,F90,NA())</f>
        <v>49.22770657818478</v>
      </c>
      <c r="O129" s="9">
        <f t="shared" ref="O129:O140" si="9">IF($Q129,G90,NA())</f>
        <v>33.751991196047953</v>
      </c>
      <c r="P129" s="3" t="s">
        <v>164</v>
      </c>
      <c r="Q129" s="361" t="b">
        <v>1</v>
      </c>
      <c r="R129" s="3"/>
      <c r="S129" s="3"/>
      <c r="T129" s="57" t="s">
        <v>160</v>
      </c>
      <c r="U129" s="58">
        <f>SUM(U130:U136)</f>
        <v>172669</v>
      </c>
      <c r="V129" s="58">
        <f t="shared" ref="V129:W129" si="10">SUM(V130:V136)</f>
        <v>172669</v>
      </c>
      <c r="W129" s="58">
        <f t="shared" si="10"/>
        <v>172669</v>
      </c>
      <c r="X129" s="3"/>
      <c r="Y129" s="3"/>
    </row>
    <row r="130" spans="2:25" ht="15.75" hidden="1" outlineLevel="1" x14ac:dyDescent="0.3">
      <c r="B130" s="3"/>
      <c r="C130" s="3"/>
      <c r="D130" s="3" t="str">
        <f t="shared" si="4"/>
        <v>Heizöl</v>
      </c>
      <c r="E130" s="10">
        <f t="shared" si="5"/>
        <v>2.6676000000000002</v>
      </c>
      <c r="F130" s="10">
        <f t="shared" si="5"/>
        <v>2.6676000000000002</v>
      </c>
      <c r="G130" s="10">
        <f t="shared" si="5"/>
        <v>2.6676000000000002</v>
      </c>
      <c r="H130" s="3" t="s">
        <v>164</v>
      </c>
      <c r="I130" s="3" t="b">
        <v>1</v>
      </c>
      <c r="J130" s="3"/>
      <c r="K130" s="3"/>
      <c r="L130" s="3" t="str">
        <f t="shared" si="6"/>
        <v>Transport gesamt</v>
      </c>
      <c r="M130" s="9">
        <f t="shared" si="7"/>
        <v>578.62626120000004</v>
      </c>
      <c r="N130" s="9">
        <f t="shared" si="8"/>
        <v>578.62626120000004</v>
      </c>
      <c r="O130" s="9">
        <f t="shared" si="9"/>
        <v>578.62626120000004</v>
      </c>
      <c r="P130" s="3" t="s">
        <v>164</v>
      </c>
      <c r="Q130" s="361" t="b">
        <v>1</v>
      </c>
      <c r="R130" s="3"/>
      <c r="S130" s="3"/>
      <c r="T130" s="31" t="s">
        <v>32</v>
      </c>
      <c r="U130" s="52">
        <f>U91</f>
        <v>2745</v>
      </c>
      <c r="V130" s="52">
        <f t="shared" ref="V130:W130" si="11">V91</f>
        <v>2745</v>
      </c>
      <c r="W130" s="52">
        <f t="shared" si="11"/>
        <v>2745</v>
      </c>
      <c r="X130" s="3"/>
      <c r="Y130" s="3"/>
    </row>
    <row r="131" spans="2:25" ht="15.75" hidden="1" outlineLevel="1" x14ac:dyDescent="0.3">
      <c r="B131" s="3"/>
      <c r="C131" s="3"/>
      <c r="D131" s="3" t="str">
        <f t="shared" si="4"/>
        <v>Strom</v>
      </c>
      <c r="E131" s="10">
        <f t="shared" si="5"/>
        <v>286.5</v>
      </c>
      <c r="F131" s="10">
        <f t="shared" si="5"/>
        <v>208.15407848118898</v>
      </c>
      <c r="G131" s="10">
        <f t="shared" si="5"/>
        <v>102.58759141018427</v>
      </c>
      <c r="H131" s="3" t="s">
        <v>164</v>
      </c>
      <c r="I131" s="3" t="b">
        <v>1</v>
      </c>
      <c r="J131" s="3"/>
      <c r="K131" s="3"/>
      <c r="L131" s="3" t="str">
        <f t="shared" si="6"/>
        <v>Zement</v>
      </c>
      <c r="M131" s="9">
        <f t="shared" si="7"/>
        <v>7683.24</v>
      </c>
      <c r="N131" s="9">
        <f t="shared" si="8"/>
        <v>7529.5751999999993</v>
      </c>
      <c r="O131" s="9">
        <f t="shared" si="9"/>
        <v>7299.0780000000004</v>
      </c>
      <c r="P131" s="3" t="s">
        <v>164</v>
      </c>
      <c r="Q131" s="361" t="b">
        <v>1</v>
      </c>
      <c r="R131" s="3"/>
      <c r="S131" s="3"/>
      <c r="T131" s="31" t="s">
        <v>33</v>
      </c>
      <c r="U131" s="52">
        <f t="shared" ref="U131:W136" si="12">U92</f>
        <v>460</v>
      </c>
      <c r="V131" s="52">
        <f t="shared" si="12"/>
        <v>460</v>
      </c>
      <c r="W131" s="52">
        <f t="shared" si="12"/>
        <v>460</v>
      </c>
      <c r="X131" s="3"/>
      <c r="Y131" s="3"/>
    </row>
    <row r="132" spans="2:25" ht="15.75" hidden="1" outlineLevel="1" x14ac:dyDescent="0.3">
      <c r="B132" s="3"/>
      <c r="C132" s="3"/>
      <c r="D132" s="3" t="str">
        <f t="shared" si="4"/>
        <v/>
      </c>
      <c r="E132" s="10" t="e">
        <f t="shared" si="5"/>
        <v>#N/A</v>
      </c>
      <c r="F132" s="10" t="e">
        <f t="shared" si="5"/>
        <v>#N/A</v>
      </c>
      <c r="G132" s="10" t="e">
        <f t="shared" si="5"/>
        <v>#N/A</v>
      </c>
      <c r="H132" s="3" t="s">
        <v>164</v>
      </c>
      <c r="I132" s="3" t="b">
        <v>0</v>
      </c>
      <c r="J132" s="3"/>
      <c r="K132" s="3"/>
      <c r="L132" s="3" t="str">
        <f t="shared" si="6"/>
        <v>Gesteinskörnungen (Zuschlagsstoffe)</v>
      </c>
      <c r="M132" s="9">
        <f t="shared" si="7"/>
        <v>387.03000000000003</v>
      </c>
      <c r="N132" s="9">
        <f t="shared" si="8"/>
        <v>387.03000000000003</v>
      </c>
      <c r="O132" s="9">
        <f t="shared" si="9"/>
        <v>387.03000000000003</v>
      </c>
      <c r="P132" s="3" t="s">
        <v>164</v>
      </c>
      <c r="Q132" s="361" t="b">
        <v>1</v>
      </c>
      <c r="R132" s="3"/>
      <c r="S132" s="3"/>
      <c r="T132" s="31" t="s">
        <v>34</v>
      </c>
      <c r="U132" s="52">
        <f t="shared" si="12"/>
        <v>129000</v>
      </c>
      <c r="V132" s="52">
        <f t="shared" si="12"/>
        <v>129000</v>
      </c>
      <c r="W132" s="52">
        <f t="shared" si="12"/>
        <v>129000</v>
      </c>
      <c r="X132" s="3"/>
      <c r="Y132" s="3"/>
    </row>
    <row r="133" spans="2:25" ht="15.75" hidden="1" outlineLevel="1" x14ac:dyDescent="0.3">
      <c r="B133" s="3"/>
      <c r="C133" s="3"/>
      <c r="D133" s="3" t="str">
        <f t="shared" si="4"/>
        <v/>
      </c>
      <c r="E133" s="10" t="e">
        <f t="shared" si="5"/>
        <v>#N/A</v>
      </c>
      <c r="F133" s="10" t="e">
        <f t="shared" si="5"/>
        <v>#N/A</v>
      </c>
      <c r="G133" s="10" t="e">
        <f t="shared" si="5"/>
        <v>#N/A</v>
      </c>
      <c r="H133" s="3" t="s">
        <v>164</v>
      </c>
      <c r="I133" s="3" t="b">
        <v>0</v>
      </c>
      <c r="J133" s="3"/>
      <c r="K133" s="3"/>
      <c r="L133" s="3" t="str">
        <f t="shared" si="6"/>
        <v>Farben</v>
      </c>
      <c r="M133" s="9">
        <f t="shared" si="7"/>
        <v>1040</v>
      </c>
      <c r="N133" s="9">
        <f t="shared" si="8"/>
        <v>1040</v>
      </c>
      <c r="O133" s="9">
        <f t="shared" si="9"/>
        <v>1040</v>
      </c>
      <c r="P133" s="3" t="s">
        <v>164</v>
      </c>
      <c r="Q133" s="361" t="b">
        <v>1</v>
      </c>
      <c r="R133" s="3"/>
      <c r="S133" s="3"/>
      <c r="T133" s="31" t="s">
        <v>125</v>
      </c>
      <c r="U133" s="52">
        <f t="shared" si="12"/>
        <v>0</v>
      </c>
      <c r="V133" s="52">
        <f t="shared" si="12"/>
        <v>0</v>
      </c>
      <c r="W133" s="52">
        <f t="shared" si="12"/>
        <v>0</v>
      </c>
      <c r="X133" s="3"/>
      <c r="Y133" s="3"/>
    </row>
    <row r="134" spans="2:25" ht="15.75" hidden="1" outlineLevel="1" x14ac:dyDescent="0.3">
      <c r="B134" s="3"/>
      <c r="C134" s="3"/>
      <c r="D134" s="3" t="str">
        <f t="shared" si="4"/>
        <v/>
      </c>
      <c r="E134" s="10" t="e">
        <f t="shared" si="5"/>
        <v>#N/A</v>
      </c>
      <c r="F134" s="10" t="e">
        <f t="shared" si="5"/>
        <v>#N/A</v>
      </c>
      <c r="G134" s="10" t="e">
        <f t="shared" si="5"/>
        <v>#N/A</v>
      </c>
      <c r="H134" s="3" t="s">
        <v>164</v>
      </c>
      <c r="I134" s="3" t="b">
        <v>0</v>
      </c>
      <c r="J134" s="3"/>
      <c r="K134" s="3"/>
      <c r="L134" s="3" t="str">
        <f t="shared" si="6"/>
        <v>Zusatzstoffe (Füllstoffe)</v>
      </c>
      <c r="M134" s="9">
        <f t="shared" si="7"/>
        <v>424.19999999999993</v>
      </c>
      <c r="N134" s="9">
        <f t="shared" si="8"/>
        <v>425.55599999999998</v>
      </c>
      <c r="O134" s="9">
        <f t="shared" si="9"/>
        <v>427.59</v>
      </c>
      <c r="P134" s="3" t="s">
        <v>164</v>
      </c>
      <c r="Q134" s="361" t="b">
        <v>1</v>
      </c>
      <c r="R134" s="3"/>
      <c r="S134" s="3"/>
      <c r="T134" s="31" t="s">
        <v>126</v>
      </c>
      <c r="U134" s="52">
        <f t="shared" si="12"/>
        <v>0</v>
      </c>
      <c r="V134" s="52">
        <f t="shared" si="12"/>
        <v>0</v>
      </c>
      <c r="W134" s="52">
        <f t="shared" si="12"/>
        <v>0</v>
      </c>
      <c r="X134" s="3"/>
      <c r="Y134" s="3"/>
    </row>
    <row r="135" spans="2:25" ht="15.75" hidden="1" outlineLevel="1" x14ac:dyDescent="0.3">
      <c r="B135" s="3"/>
      <c r="C135" s="3"/>
      <c r="D135" s="3" t="str">
        <f t="shared" si="4"/>
        <v>Diesel</v>
      </c>
      <c r="E135" s="10">
        <f t="shared" si="5"/>
        <v>95.691080159999984</v>
      </c>
      <c r="F135" s="10">
        <f t="shared" si="5"/>
        <v>95.691080159999984</v>
      </c>
      <c r="G135" s="10">
        <f t="shared" si="5"/>
        <v>95.691080159999984</v>
      </c>
      <c r="H135" s="3" t="s">
        <v>164</v>
      </c>
      <c r="I135" s="3" t="b">
        <v>1</v>
      </c>
      <c r="J135" s="3"/>
      <c r="K135" s="3"/>
      <c r="L135" s="3" t="str">
        <f t="shared" si="6"/>
        <v>Zusatzmittel</v>
      </c>
      <c r="M135" s="9">
        <f t="shared" si="7"/>
        <v>185.55932668689491</v>
      </c>
      <c r="N135" s="9">
        <f t="shared" si="8"/>
        <v>185.55932668689491</v>
      </c>
      <c r="O135" s="9">
        <f t="shared" si="9"/>
        <v>185.55932668689491</v>
      </c>
      <c r="P135" s="3" t="s">
        <v>164</v>
      </c>
      <c r="Q135" s="361" t="b">
        <v>1</v>
      </c>
      <c r="R135" s="3"/>
      <c r="S135" s="3"/>
      <c r="T135" s="31" t="s">
        <v>127</v>
      </c>
      <c r="U135" s="52">
        <f t="shared" si="12"/>
        <v>0</v>
      </c>
      <c r="V135" s="52">
        <f t="shared" si="12"/>
        <v>0</v>
      </c>
      <c r="W135" s="52">
        <f t="shared" si="12"/>
        <v>0</v>
      </c>
      <c r="X135" s="3"/>
      <c r="Y135" s="3"/>
    </row>
    <row r="136" spans="2:25" ht="16.5" hidden="1" outlineLevel="1" thickBot="1" x14ac:dyDescent="0.35">
      <c r="B136" s="3"/>
      <c r="C136" s="3"/>
      <c r="D136" s="27" t="s">
        <v>70</v>
      </c>
      <c r="E136" s="33">
        <f>SUMIF($I$129:$I$135,"WAHR",E129:E135)</f>
        <v>393.10088015999997</v>
      </c>
      <c r="F136" s="33">
        <f>SUMIF($I$129:$I$135,"WAHR",F129:F135)</f>
        <v>314.75495864118898</v>
      </c>
      <c r="G136" s="33">
        <f>SUMIF($I$129:$I$135,"WAHR",G129:G135)</f>
        <v>209.18847157018428</v>
      </c>
      <c r="H136" s="27" t="s">
        <v>165</v>
      </c>
      <c r="I136" s="3"/>
      <c r="J136" s="3"/>
      <c r="K136" s="3"/>
      <c r="L136" s="3" t="str">
        <f t="shared" si="6"/>
        <v>Zusätzliche Ersatzstoffe</v>
      </c>
      <c r="M136" s="9">
        <f t="shared" si="7"/>
        <v>0</v>
      </c>
      <c r="N136" s="9">
        <f t="shared" si="8"/>
        <v>0</v>
      </c>
      <c r="O136" s="9">
        <f t="shared" si="9"/>
        <v>0</v>
      </c>
      <c r="P136" s="3" t="s">
        <v>164</v>
      </c>
      <c r="Q136" s="361" t="b">
        <v>1</v>
      </c>
      <c r="R136" s="3"/>
      <c r="S136" s="3"/>
      <c r="T136" s="51" t="s">
        <v>35</v>
      </c>
      <c r="U136" s="53">
        <f t="shared" si="12"/>
        <v>40464.000000000007</v>
      </c>
      <c r="V136" s="54">
        <f t="shared" si="12"/>
        <v>40464</v>
      </c>
      <c r="W136" s="54">
        <f t="shared" si="12"/>
        <v>40464</v>
      </c>
      <c r="X136" s="3"/>
      <c r="Y136" s="3"/>
    </row>
    <row r="137" spans="2:25" ht="16.5" hidden="1" outlineLevel="1" thickTop="1" x14ac:dyDescent="0.3">
      <c r="B137" s="3"/>
      <c r="C137" s="3"/>
      <c r="D137" s="3"/>
      <c r="E137" s="3"/>
      <c r="F137" s="3"/>
      <c r="G137" s="3"/>
      <c r="H137" s="3"/>
      <c r="I137" s="3"/>
      <c r="J137" s="3"/>
      <c r="K137" s="3"/>
      <c r="L137" s="3" t="str">
        <f t="shared" si="6"/>
        <v/>
      </c>
      <c r="M137" s="9" t="e">
        <f t="shared" si="7"/>
        <v>#N/A</v>
      </c>
      <c r="N137" s="9" t="e">
        <f t="shared" si="8"/>
        <v>#N/A</v>
      </c>
      <c r="O137" s="9" t="e">
        <f t="shared" si="9"/>
        <v>#N/A</v>
      </c>
      <c r="P137" s="3" t="s">
        <v>164</v>
      </c>
      <c r="Q137" s="361" t="b">
        <v>0</v>
      </c>
      <c r="R137" s="3"/>
      <c r="S137" s="3"/>
      <c r="T137" s="8" t="str">
        <f>IF(X137,"CAPEX","")</f>
        <v>CAPEX</v>
      </c>
      <c r="U137" s="55">
        <f>IF($X137,U98,NA())</f>
        <v>0</v>
      </c>
      <c r="V137" s="55">
        <f t="shared" ref="V137:W139" si="13">IF($X137,V98,NA())</f>
        <v>0</v>
      </c>
      <c r="W137" s="55">
        <f t="shared" si="13"/>
        <v>0</v>
      </c>
      <c r="X137" s="361" t="b">
        <v>1</v>
      </c>
      <c r="Y137" s="3"/>
    </row>
    <row r="138" spans="2:25" ht="15.75" hidden="1" outlineLevel="1" x14ac:dyDescent="0.3">
      <c r="B138" s="3"/>
      <c r="C138" s="3"/>
      <c r="D138" s="3"/>
      <c r="E138" s="3"/>
      <c r="F138" s="3"/>
      <c r="G138" s="3"/>
      <c r="H138" s="3"/>
      <c r="I138" s="3"/>
      <c r="J138" s="3"/>
      <c r="K138" s="3"/>
      <c r="L138" s="3" t="str">
        <f t="shared" si="6"/>
        <v/>
      </c>
      <c r="M138" s="9" t="e">
        <f t="shared" si="7"/>
        <v>#N/A</v>
      </c>
      <c r="N138" s="9" t="e">
        <f t="shared" si="8"/>
        <v>#N/A</v>
      </c>
      <c r="O138" s="9" t="e">
        <f t="shared" si="9"/>
        <v>#N/A</v>
      </c>
      <c r="P138" s="3" t="s">
        <v>164</v>
      </c>
      <c r="Q138" s="361" t="b">
        <v>0</v>
      </c>
      <c r="R138" s="3"/>
      <c r="S138" s="3"/>
      <c r="T138" s="8" t="str">
        <f>IF(X138,"Zusätzliche jährliche Kosten","")</f>
        <v/>
      </c>
      <c r="U138" s="55" t="e">
        <f>IF($X138,U99,NA())</f>
        <v>#N/A</v>
      </c>
      <c r="V138" s="55" t="e">
        <f t="shared" si="13"/>
        <v>#N/A</v>
      </c>
      <c r="W138" s="55" t="e">
        <f t="shared" si="13"/>
        <v>#N/A</v>
      </c>
      <c r="X138" s="361" t="b">
        <v>0</v>
      </c>
      <c r="Y138" s="3"/>
    </row>
    <row r="139" spans="2:25" ht="15.75" hidden="1" outlineLevel="1" x14ac:dyDescent="0.3">
      <c r="B139" s="3"/>
      <c r="C139" s="3"/>
      <c r="D139" s="3"/>
      <c r="E139" s="3"/>
      <c r="F139" s="3"/>
      <c r="G139" s="3"/>
      <c r="H139" s="3"/>
      <c r="I139" s="3"/>
      <c r="J139" s="3"/>
      <c r="K139" s="3"/>
      <c r="L139" s="3" t="str">
        <f t="shared" si="6"/>
        <v/>
      </c>
      <c r="M139" s="9" t="e">
        <f t="shared" si="7"/>
        <v>#N/A</v>
      </c>
      <c r="N139" s="9" t="e">
        <f t="shared" si="8"/>
        <v>#N/A</v>
      </c>
      <c r="O139" s="9" t="e">
        <f t="shared" si="9"/>
        <v>#N/A</v>
      </c>
      <c r="P139" s="3" t="s">
        <v>164</v>
      </c>
      <c r="Q139" s="361" t="b">
        <v>0</v>
      </c>
      <c r="R139" s="3"/>
      <c r="S139" s="3"/>
      <c r="T139" s="59" t="str">
        <f>IF(X139,"Einmalige Kosten","")</f>
        <v/>
      </c>
      <c r="U139" s="55" t="e">
        <f>IF($X139,U100,NA())</f>
        <v>#N/A</v>
      </c>
      <c r="V139" s="55" t="e">
        <f t="shared" si="13"/>
        <v>#N/A</v>
      </c>
      <c r="W139" s="55" t="e">
        <f t="shared" si="13"/>
        <v>#N/A</v>
      </c>
      <c r="X139" s="361" t="b">
        <v>0</v>
      </c>
      <c r="Y139" s="3"/>
    </row>
    <row r="140" spans="2:25" ht="15.75" hidden="1" outlineLevel="1" x14ac:dyDescent="0.3">
      <c r="B140" s="3"/>
      <c r="C140" s="3"/>
      <c r="D140" s="3"/>
      <c r="E140" s="3"/>
      <c r="F140" s="3"/>
      <c r="G140" s="3"/>
      <c r="H140" s="3"/>
      <c r="I140" s="3"/>
      <c r="J140" s="3"/>
      <c r="K140" s="3"/>
      <c r="L140" s="3" t="str">
        <f t="shared" si="6"/>
        <v>Verpackungsmaterial</v>
      </c>
      <c r="M140" s="9">
        <f t="shared" si="7"/>
        <v>161.20000000000002</v>
      </c>
      <c r="N140" s="9">
        <f t="shared" si="8"/>
        <v>161.20000000000002</v>
      </c>
      <c r="O140" s="9">
        <f t="shared" si="9"/>
        <v>161.20000000000002</v>
      </c>
      <c r="P140" s="3" t="s">
        <v>164</v>
      </c>
      <c r="Q140" s="361" t="b">
        <v>1</v>
      </c>
      <c r="R140" s="3"/>
      <c r="S140" s="3"/>
      <c r="T140" s="57" t="str">
        <f>IF(X140,"CO2-Kosten","")</f>
        <v>CO2-Kosten</v>
      </c>
      <c r="U140" s="58">
        <f>IF($X$140,SUMIF($X$141:$X$143,"WAHR",U141:U143),NA())</f>
        <v>272843.09601517254</v>
      </c>
      <c r="V140" s="58">
        <f t="shared" ref="V140:W140" si="14">IF($X$140,SUMIF($X$141:$X$143,"WAHR",V141:V143),NA())</f>
        <v>480221.27338978217</v>
      </c>
      <c r="W140" s="58">
        <f t="shared" si="14"/>
        <v>825766.27605225041</v>
      </c>
      <c r="X140" s="361" t="b">
        <v>1</v>
      </c>
      <c r="Y140" s="3"/>
    </row>
    <row r="141" spans="2:25" ht="16.5" hidden="1" outlineLevel="1" thickBot="1" x14ac:dyDescent="0.35">
      <c r="B141" s="3"/>
      <c r="C141" s="3"/>
      <c r="D141" s="3"/>
      <c r="E141" s="3"/>
      <c r="F141" s="3"/>
      <c r="G141" s="3"/>
      <c r="H141" s="3"/>
      <c r="I141" s="3"/>
      <c r="J141" s="3"/>
      <c r="K141" s="3"/>
      <c r="L141" s="27" t="s">
        <v>70</v>
      </c>
      <c r="M141" s="28">
        <f>SUMIF($Q$129:$Q$140,"WAHR",M129:M140)</f>
        <v>10520.568560446896</v>
      </c>
      <c r="N141" s="28">
        <f>SUMIF($Q$129:$Q$140,"WAHR",N129:N140)</f>
        <v>10356.77449446508</v>
      </c>
      <c r="O141" s="28">
        <f>SUMIF($Q$129:$Q$140,"WAHR",O129:O140)</f>
        <v>10112.835579082945</v>
      </c>
      <c r="P141" s="27" t="s">
        <v>165</v>
      </c>
      <c r="Q141" s="3"/>
      <c r="R141" s="3"/>
      <c r="S141" s="3"/>
      <c r="T141" s="31" t="s">
        <v>157</v>
      </c>
      <c r="U141" s="52">
        <f>IF($X141,U102,NA())</f>
        <v>2665.0220039999999</v>
      </c>
      <c r="V141" s="52">
        <f t="shared" ref="V141:W141" si="15">IF($X141,V102,NA())</f>
        <v>4797.0396071999994</v>
      </c>
      <c r="W141" s="52">
        <f t="shared" si="15"/>
        <v>8528.0704127999998</v>
      </c>
      <c r="X141" s="361" t="b">
        <v>1</v>
      </c>
      <c r="Y141" s="3"/>
    </row>
    <row r="142" spans="2:25" ht="16.5" hidden="1" outlineLevel="1" thickTop="1" x14ac:dyDescent="0.3">
      <c r="B142" s="3"/>
      <c r="C142" s="3"/>
      <c r="D142" s="3"/>
      <c r="E142" s="3"/>
      <c r="F142" s="3"/>
      <c r="G142" s="3"/>
      <c r="H142" s="3"/>
      <c r="I142" s="3"/>
      <c r="J142" s="3"/>
      <c r="K142" s="3"/>
      <c r="L142" s="3"/>
      <c r="M142" s="3"/>
      <c r="N142" s="3"/>
      <c r="O142" s="3"/>
      <c r="P142" s="3"/>
      <c r="Q142" s="3"/>
      <c r="R142" s="3"/>
      <c r="S142" s="3"/>
      <c r="T142" s="31" t="s">
        <v>158</v>
      </c>
      <c r="U142" s="52">
        <f t="shared" ref="U142:W143" si="16">IF($X142,U103,NA())</f>
        <v>7162.5</v>
      </c>
      <c r="V142" s="52">
        <f t="shared" si="16"/>
        <v>9366.9335316535035</v>
      </c>
      <c r="W142" s="52">
        <f t="shared" si="16"/>
        <v>8207.0073128147415</v>
      </c>
      <c r="X142" s="361" t="b">
        <v>1</v>
      </c>
      <c r="Y142" s="3"/>
    </row>
    <row r="143" spans="2:25" ht="15.75" hidden="1" outlineLevel="1" x14ac:dyDescent="0.3">
      <c r="B143" s="3"/>
      <c r="C143" s="3"/>
      <c r="D143" s="3"/>
      <c r="E143" s="3"/>
      <c r="F143" s="3"/>
      <c r="G143" s="3"/>
      <c r="H143" s="3"/>
      <c r="I143" s="3"/>
      <c r="J143" s="3"/>
      <c r="K143" s="3"/>
      <c r="L143" s="3"/>
      <c r="M143" s="3"/>
      <c r="N143" s="3"/>
      <c r="O143" s="3"/>
      <c r="P143" s="3"/>
      <c r="Q143" s="3"/>
      <c r="R143" s="3"/>
      <c r="S143" s="3"/>
      <c r="T143" s="31" t="s">
        <v>159</v>
      </c>
      <c r="U143" s="52">
        <f t="shared" si="16"/>
        <v>263015.57401117252</v>
      </c>
      <c r="V143" s="52">
        <f t="shared" si="16"/>
        <v>466057.30025092867</v>
      </c>
      <c r="W143" s="52">
        <f t="shared" si="16"/>
        <v>809031.19832663564</v>
      </c>
      <c r="X143" s="361" t="b">
        <v>1</v>
      </c>
      <c r="Y143" s="3"/>
    </row>
    <row r="144" spans="2:25" ht="13.5" hidden="1" outlineLevel="1" thickBot="1" x14ac:dyDescent="0.25">
      <c r="B144" s="3"/>
      <c r="C144" s="3"/>
      <c r="D144" s="3"/>
      <c r="E144" s="3"/>
      <c r="F144" s="3"/>
      <c r="G144" s="3"/>
      <c r="H144" s="3"/>
      <c r="I144" s="3"/>
      <c r="J144" s="3"/>
      <c r="K144" s="3"/>
      <c r="L144" s="3"/>
      <c r="M144" s="3"/>
      <c r="N144" s="3"/>
      <c r="O144" s="3"/>
      <c r="P144" s="3"/>
      <c r="Q144" s="3"/>
      <c r="R144" s="3"/>
      <c r="S144" s="3"/>
      <c r="T144" s="27" t="s">
        <v>70</v>
      </c>
      <c r="U144" s="56">
        <f>IF($X$140,U140,0)+IF($X$139,U139,0)+IF($X$138,U138,0)+IF($X$137,U137,0)+U129</f>
        <v>445512.09601517254</v>
      </c>
      <c r="V144" s="56">
        <f t="shared" ref="V144:W144" si="17">IF($X$140,V140,0)+IF($X$139,V139,0)+IF($X$138,V138,0)+IF($X$137,V137,0)+V129</f>
        <v>652890.27338978217</v>
      </c>
      <c r="W144" s="56">
        <f t="shared" si="17"/>
        <v>998435.27605225041</v>
      </c>
      <c r="X144" s="3"/>
      <c r="Y144" s="3"/>
    </row>
    <row r="145" spans="2:25" ht="13.5" hidden="1" outlineLevel="1" thickTop="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2:25" hidden="1" outlineLevel="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2:25" hidden="1" outlineLevel="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2:25" hidden="1" outlineLevel="1" x14ac:dyDescent="0.2">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2:25" hidden="1" outlineLevel="1" x14ac:dyDescent="0.2">
      <c r="B149" s="3"/>
      <c r="C149" s="3"/>
      <c r="D149" s="102" t="str">
        <f>IF(OR(G17&gt;0,G18&gt;0,G19&gt;0,G20&gt;0),"Hinweis: Bitte den Handeingabewert 'Reduktion' für 2030 auch anpassen. Dieser muss dem Werte Ihrer Handeingabe 2025 entsprechen, sollte nur eine Maßnahme in 2025 umgesetzt werden.","")</f>
        <v/>
      </c>
      <c r="E149" s="3"/>
      <c r="F149" s="3"/>
      <c r="G149" s="3"/>
      <c r="H149" s="3"/>
      <c r="I149" s="3"/>
      <c r="J149" s="3"/>
      <c r="K149" s="3"/>
      <c r="L149" s="3"/>
      <c r="M149" s="3"/>
      <c r="N149" s="3"/>
      <c r="O149" s="3"/>
      <c r="P149" s="3"/>
      <c r="Q149" s="3"/>
      <c r="R149" s="3"/>
      <c r="S149" s="3"/>
      <c r="T149" s="3"/>
      <c r="U149" s="3"/>
      <c r="V149" s="3"/>
      <c r="W149" s="3"/>
      <c r="X149" s="3"/>
      <c r="Y149" s="3"/>
    </row>
    <row r="150" spans="2:25" hidden="1" outlineLevel="1" x14ac:dyDescent="0.2">
      <c r="B150" s="3"/>
      <c r="C150" s="3"/>
      <c r="D150" s="102" t="str">
        <f>IF(OR(G23&gt;0,G24&gt;0,G25&gt;0,G26&gt;0,G27&gt;0),"Hinweis: Bitte den Handeingabewert 'Mehrverbrauch' für 2030 auch anpassen. Dieser muss dem Werte Ihrer Handeingabe 2025 entsprechen, sollte nur eine Maßnahme in 2025 umgesetzt werden.","")</f>
        <v/>
      </c>
      <c r="E150" s="3"/>
      <c r="F150" s="3"/>
      <c r="G150" s="3"/>
      <c r="H150" s="3"/>
      <c r="I150" s="3"/>
      <c r="J150" s="3"/>
      <c r="K150" s="3"/>
      <c r="L150" s="3"/>
      <c r="M150" s="3"/>
      <c r="N150" s="3"/>
      <c r="O150" s="3"/>
      <c r="P150" s="3"/>
      <c r="Q150" s="3"/>
      <c r="R150" s="3"/>
      <c r="S150" s="3"/>
      <c r="T150" s="3"/>
      <c r="U150" s="3"/>
      <c r="V150" s="3"/>
      <c r="W150" s="3"/>
      <c r="X150" s="3"/>
      <c r="Y150" s="3"/>
    </row>
    <row r="151" spans="2:25" hidden="1" outlineLevel="1"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2:25" hidden="1" outlineLevel="1" x14ac:dyDescent="0.2">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2:25" collapsed="1" x14ac:dyDescent="0.2"/>
    <row r="155" spans="2:25" ht="15.75" hidden="1" outlineLevel="1" x14ac:dyDescent="0.25">
      <c r="B155" s="22"/>
      <c r="C155" s="22" t="s">
        <v>117</v>
      </c>
      <c r="D155" s="17"/>
      <c r="E155" s="17"/>
      <c r="F155" s="17"/>
      <c r="G155" s="17"/>
      <c r="H155" s="17"/>
      <c r="I155" s="17"/>
      <c r="J155" s="17"/>
      <c r="K155" s="17"/>
      <c r="L155" s="17"/>
      <c r="N155" s="22" t="s">
        <v>120</v>
      </c>
      <c r="O155" s="17"/>
      <c r="P155" s="17"/>
      <c r="Q155" s="17"/>
      <c r="R155" s="17"/>
      <c r="S155" s="17"/>
      <c r="T155" s="17"/>
    </row>
    <row r="156" spans="2:25" ht="15" hidden="1" outlineLevel="1" x14ac:dyDescent="0.25">
      <c r="B156" s="64"/>
      <c r="C156" s="64">
        <v>2025</v>
      </c>
      <c r="D156" s="17" t="s">
        <v>266</v>
      </c>
      <c r="E156" s="17"/>
      <c r="F156" s="17"/>
      <c r="G156" s="17"/>
      <c r="H156" s="17"/>
      <c r="I156" s="17"/>
      <c r="J156" s="17"/>
      <c r="K156" s="17"/>
      <c r="L156" s="17"/>
      <c r="N156" s="64">
        <v>2025</v>
      </c>
      <c r="O156" s="17"/>
      <c r="P156" s="17"/>
      <c r="Q156" s="17"/>
      <c r="R156" s="17"/>
      <c r="S156" s="17"/>
      <c r="T156" s="17"/>
    </row>
    <row r="157" spans="2:25" hidden="1" outlineLevel="1" x14ac:dyDescent="0.2">
      <c r="B157" s="302"/>
      <c r="C157" s="17"/>
      <c r="D157" s="17" t="s">
        <v>261</v>
      </c>
      <c r="E157" s="315">
        <f>(1+(IF(NOT(ISBLANK($G17)),$G17/100,$E17/100)))</f>
        <v>0.98</v>
      </c>
      <c r="F157" s="17"/>
      <c r="G157" s="17"/>
      <c r="H157" s="17"/>
      <c r="I157" s="17"/>
      <c r="J157" s="17"/>
      <c r="K157" s="17"/>
      <c r="L157" s="17"/>
      <c r="N157" s="21"/>
      <c r="O157" s="17"/>
      <c r="P157" s="17"/>
      <c r="Q157" s="17"/>
      <c r="R157" s="17"/>
      <c r="S157" s="17"/>
      <c r="T157" s="17"/>
    </row>
    <row r="158" spans="2:25" hidden="1" outlineLevel="1" x14ac:dyDescent="0.2">
      <c r="B158" s="302"/>
      <c r="C158" s="17"/>
      <c r="D158" s="17" t="s">
        <v>262</v>
      </c>
      <c r="E158" s="315">
        <f>(1+(IF(NOT(ISBLANK($G18)),$G18/100,$E18/100)))</f>
        <v>0.98</v>
      </c>
      <c r="F158" s="17"/>
      <c r="G158" s="17"/>
      <c r="H158" s="17"/>
      <c r="I158" s="17"/>
      <c r="J158" s="17"/>
      <c r="K158" s="17"/>
      <c r="L158" s="17"/>
      <c r="N158" s="21"/>
      <c r="O158" s="17"/>
      <c r="P158" s="17"/>
      <c r="Q158" s="17"/>
      <c r="R158" s="17"/>
      <c r="S158" s="17"/>
      <c r="T158" s="17"/>
    </row>
    <row r="159" spans="2:25" hidden="1" outlineLevel="1" x14ac:dyDescent="0.2">
      <c r="B159" s="302"/>
      <c r="C159" s="17"/>
      <c r="D159" s="17" t="s">
        <v>51</v>
      </c>
      <c r="E159" s="315">
        <f>(1+(IF(NOT(ISBLANK($G19)),$G19/100,$E19/100)))</f>
        <v>0.98</v>
      </c>
      <c r="F159" s="17"/>
      <c r="G159" s="17"/>
      <c r="H159" s="17"/>
      <c r="I159" s="17"/>
      <c r="J159" s="17"/>
      <c r="K159" s="17"/>
      <c r="L159" s="17"/>
      <c r="N159" s="21"/>
      <c r="O159" s="17"/>
      <c r="P159" s="17"/>
      <c r="Q159" s="17"/>
      <c r="R159" s="17"/>
      <c r="S159" s="17"/>
      <c r="T159" s="17"/>
    </row>
    <row r="160" spans="2:25" hidden="1" outlineLevel="1" x14ac:dyDescent="0.2">
      <c r="B160" s="302"/>
      <c r="C160" s="17"/>
      <c r="D160" s="17" t="s">
        <v>163</v>
      </c>
      <c r="E160" s="315">
        <f>(1+(IF(NOT(ISBLANK($G20)),$G20/100,$E20/100)))</f>
        <v>0.98</v>
      </c>
      <c r="F160" s="17"/>
      <c r="G160" s="17"/>
      <c r="H160" s="17"/>
      <c r="I160" s="17"/>
      <c r="J160" s="17"/>
      <c r="K160" s="17"/>
      <c r="L160" s="17"/>
      <c r="N160" s="21"/>
      <c r="O160" s="17"/>
      <c r="P160" s="17"/>
      <c r="Q160" s="17"/>
      <c r="R160" s="17"/>
      <c r="S160" s="17"/>
      <c r="T160" s="17"/>
    </row>
    <row r="161" spans="2:20" hidden="1" outlineLevel="1" x14ac:dyDescent="0.2">
      <c r="B161" s="302"/>
      <c r="C161" s="17"/>
      <c r="D161" s="17"/>
      <c r="E161" s="17"/>
      <c r="F161" s="17"/>
      <c r="G161" s="17"/>
      <c r="H161" s="17"/>
      <c r="I161" s="17"/>
      <c r="J161" s="17"/>
      <c r="K161" s="17"/>
      <c r="L161" s="17"/>
      <c r="N161" s="21"/>
      <c r="O161" s="17"/>
      <c r="P161" s="17"/>
      <c r="Q161" s="17"/>
      <c r="R161" s="17"/>
      <c r="S161" s="17"/>
      <c r="T161" s="17"/>
    </row>
    <row r="162" spans="2:20" hidden="1" outlineLevel="1" x14ac:dyDescent="0.2">
      <c r="B162" s="302"/>
      <c r="C162" s="17"/>
      <c r="D162" s="17" t="s">
        <v>60</v>
      </c>
      <c r="E162" s="315">
        <f>(1+(IF(NOT(ISBLANK($G23)),$G23/100,$E23/100)))</f>
        <v>1</v>
      </c>
      <c r="F162" s="17"/>
      <c r="G162" s="17"/>
      <c r="H162" s="17"/>
      <c r="I162" s="17"/>
      <c r="J162" s="17"/>
      <c r="K162" s="17"/>
      <c r="L162" s="17"/>
      <c r="N162" s="21"/>
      <c r="O162" s="17"/>
      <c r="P162" s="17"/>
      <c r="Q162" s="17"/>
      <c r="R162" s="17"/>
      <c r="S162" s="17"/>
      <c r="T162" s="17"/>
    </row>
    <row r="163" spans="2:20" hidden="1" outlineLevel="1" x14ac:dyDescent="0.2">
      <c r="B163" s="302"/>
      <c r="C163" s="17"/>
      <c r="D163" s="17" t="s">
        <v>61</v>
      </c>
      <c r="E163" s="315">
        <f>(1+(IF(NOT(ISBLANK($G24)),$G24/100,$E24/100)))</f>
        <v>1.02</v>
      </c>
      <c r="F163" s="17"/>
      <c r="G163" s="17"/>
      <c r="H163" s="17"/>
      <c r="I163" s="17"/>
      <c r="J163" s="17"/>
      <c r="K163" s="17"/>
      <c r="L163" s="17"/>
      <c r="N163" s="21"/>
      <c r="O163" s="17"/>
      <c r="P163" s="17"/>
      <c r="Q163" s="17"/>
      <c r="R163" s="17"/>
      <c r="S163" s="17"/>
      <c r="T163" s="17"/>
    </row>
    <row r="164" spans="2:20" hidden="1" outlineLevel="1" x14ac:dyDescent="0.2">
      <c r="B164" s="302"/>
      <c r="C164" s="17"/>
      <c r="D164" s="17" t="s">
        <v>62</v>
      </c>
      <c r="E164" s="315">
        <f>(1+(IF(NOT(ISBLANK($G25)),$G25/100,$E25/100)))</f>
        <v>1.02</v>
      </c>
      <c r="F164" s="17"/>
      <c r="G164" s="17"/>
      <c r="H164" s="17"/>
      <c r="I164" s="17"/>
      <c r="J164" s="17"/>
      <c r="K164" s="17"/>
      <c r="L164" s="17"/>
      <c r="N164" s="17"/>
      <c r="O164" s="17"/>
      <c r="P164" s="17"/>
      <c r="Q164" s="17"/>
      <c r="R164" s="17"/>
      <c r="S164" s="17"/>
      <c r="T164" s="17"/>
    </row>
    <row r="165" spans="2:20" hidden="1" outlineLevel="1" x14ac:dyDescent="0.2">
      <c r="B165" s="17"/>
      <c r="C165" s="17"/>
      <c r="D165" s="17"/>
      <c r="E165" s="17"/>
      <c r="F165" s="20"/>
      <c r="G165" s="20"/>
      <c r="H165" s="20"/>
      <c r="I165" s="17"/>
      <c r="J165" s="17"/>
      <c r="K165" s="17"/>
      <c r="L165" s="17"/>
      <c r="N165" s="17"/>
      <c r="O165" s="17"/>
      <c r="P165" s="17"/>
      <c r="Q165" s="17"/>
      <c r="R165" s="17"/>
      <c r="S165" s="17"/>
      <c r="T165" s="17"/>
    </row>
    <row r="166" spans="2:20" hidden="1" outlineLevel="1" x14ac:dyDescent="0.2">
      <c r="B166" s="17"/>
      <c r="C166" s="17"/>
      <c r="D166" s="17"/>
      <c r="E166" s="17"/>
      <c r="F166" s="20"/>
      <c r="G166" s="20"/>
      <c r="H166" s="20"/>
      <c r="I166" s="17"/>
      <c r="J166" s="17"/>
      <c r="K166" s="17"/>
      <c r="L166" s="17"/>
      <c r="N166" s="17"/>
      <c r="O166" s="17"/>
      <c r="P166" s="17"/>
      <c r="Q166" s="18"/>
      <c r="R166" s="18"/>
      <c r="S166" s="18"/>
      <c r="T166" s="18"/>
    </row>
    <row r="167" spans="2:20" ht="25.5" hidden="1" outlineLevel="1" x14ac:dyDescent="0.2">
      <c r="B167" s="17"/>
      <c r="C167" s="17"/>
      <c r="D167" s="17"/>
      <c r="E167" s="17"/>
      <c r="F167" s="36" t="s">
        <v>27</v>
      </c>
      <c r="G167" s="36" t="s">
        <v>85</v>
      </c>
      <c r="H167" s="36" t="s">
        <v>29</v>
      </c>
      <c r="I167" s="17"/>
      <c r="J167" s="40" t="s">
        <v>114</v>
      </c>
      <c r="K167" s="41" t="s">
        <v>40</v>
      </c>
      <c r="L167" s="17"/>
      <c r="N167" s="17"/>
      <c r="O167" s="17"/>
      <c r="P167" s="17"/>
      <c r="Q167" s="18"/>
      <c r="R167" s="18"/>
      <c r="S167" s="18"/>
      <c r="T167" s="18"/>
    </row>
    <row r="168" spans="2:20" ht="14.25" hidden="1" outlineLevel="1" x14ac:dyDescent="0.25">
      <c r="B168" s="76"/>
      <c r="C168" s="76" t="s">
        <v>191</v>
      </c>
      <c r="D168" s="76"/>
      <c r="E168" s="76"/>
      <c r="F168" s="77">
        <f>SUM(F170:F183)</f>
        <v>106.60088015999999</v>
      </c>
      <c r="G168" s="77">
        <f t="shared" ref="G168:H168" si="18">SUM(G170:G183)</f>
        <v>208.15407848118898</v>
      </c>
      <c r="H168" s="77">
        <f t="shared" si="18"/>
        <v>49.22770657818478</v>
      </c>
      <c r="I168" s="76"/>
      <c r="J168" s="77">
        <f>F168+G168</f>
        <v>314.75495864118898</v>
      </c>
      <c r="K168" s="77">
        <f>SUM(F168:H168)</f>
        <v>363.98266521937376</v>
      </c>
      <c r="L168" s="76" t="s">
        <v>198</v>
      </c>
      <c r="N168" s="17" t="s">
        <v>148</v>
      </c>
      <c r="O168" s="17"/>
      <c r="P168" s="17"/>
      <c r="Q168" s="18"/>
      <c r="R168" s="18"/>
      <c r="S168" s="18"/>
      <c r="T168" s="18"/>
    </row>
    <row r="169" spans="2:20" hidden="1" outlineLevel="1" x14ac:dyDescent="0.2">
      <c r="B169" s="17"/>
      <c r="C169" s="17" t="s">
        <v>148</v>
      </c>
      <c r="D169" s="17"/>
      <c r="E169" s="17"/>
      <c r="F169" s="17"/>
      <c r="G169" s="17"/>
      <c r="H169" s="17"/>
      <c r="I169" s="17"/>
      <c r="J169" s="17"/>
      <c r="K169" s="17"/>
      <c r="L169" s="17"/>
      <c r="N169" s="302"/>
      <c r="O169" s="17" t="s">
        <v>128</v>
      </c>
      <c r="P169" s="17"/>
      <c r="Q169" s="19"/>
      <c r="R169" s="20"/>
      <c r="S169" s="42">
        <f>IF(NOT(ISBLANK('Referenz Pflasterwerk'!$I16)),'Referenz Pflasterwerk'!$I16,'Referenz Pflasterwerk'!$F16)/1000*IF(NOT(ISBLANK('Eingabe Preise'!$K10)),'Eingabe Preise'!$K10,'Eingabe Preise'!$I10)</f>
        <v>549</v>
      </c>
      <c r="T169" s="20" t="s">
        <v>109</v>
      </c>
    </row>
    <row r="170" spans="2:20" ht="15.75" hidden="1" outlineLevel="1" x14ac:dyDescent="0.3">
      <c r="B170" s="302"/>
      <c r="C170" s="17"/>
      <c r="D170" s="17" t="s">
        <v>128</v>
      </c>
      <c r="E170" s="17"/>
      <c r="F170" s="38">
        <f>IF(NOT(ISBLANK('Referenz Pflasterwerk'!$I16)),'Referenz Pflasterwerk'!$I16,'Referenz Pflasterwerk'!$F16)*IF(NOT(ISBLANK('Eingabe EF'!$AA9)),'Eingabe EF'!$AA9,'Eingabe EF'!$Y9)</f>
        <v>1.6484399999999999</v>
      </c>
      <c r="G170" s="38">
        <f>IF(NOT(ISBLANK('Referenz Pflasterwerk'!$I16)),'Referenz Pflasterwerk'!$I16,'Referenz Pflasterwerk'!$F16)*IF(NOT(ISBLANK('Eingabe EF'!$AE9)),'Eingabe EF'!$AE9,'Eingabe EF'!$AC9)</f>
        <v>0</v>
      </c>
      <c r="H170" s="38">
        <f>IF(NOT(ISBLANK('Referenz Pflasterwerk'!$I16)),'Referenz Pflasterwerk'!$I16,'Referenz Pflasterwerk'!$F16)*IF(NOT(ISBLANK('Eingabe EF'!$AI9)),'Eingabe EF'!$AI9,'Eingabe EF'!$AG9)</f>
        <v>0.28215000000000001</v>
      </c>
      <c r="I170" s="17"/>
      <c r="J170" s="38">
        <f>F170+G170</f>
        <v>1.6484399999999999</v>
      </c>
      <c r="K170" s="38">
        <f>SUM(F170:H170)</f>
        <v>1.93059</v>
      </c>
      <c r="L170" s="17" t="s">
        <v>199</v>
      </c>
      <c r="N170" s="302"/>
      <c r="O170" s="17" t="s">
        <v>166</v>
      </c>
      <c r="P170" s="17"/>
      <c r="Q170" s="20"/>
      <c r="R170" s="20"/>
      <c r="S170" s="42">
        <f>IF(NOT(ISBLANK('Referenz Pflasterwerk'!$I17)),'Referenz Pflasterwerk'!$I17,'Referenz Pflasterwerk'!$F17)/1000*IF(NOT(ISBLANK('Eingabe Preise'!$K11)),'Eingabe Preise'!$K11,'Eingabe Preise'!$I11)</f>
        <v>92</v>
      </c>
      <c r="T170" s="20" t="s">
        <v>109</v>
      </c>
    </row>
    <row r="171" spans="2:20" ht="15.75" hidden="1" outlineLevel="1" x14ac:dyDescent="0.3">
      <c r="B171" s="302"/>
      <c r="C171" s="17"/>
      <c r="D171" s="17" t="s">
        <v>166</v>
      </c>
      <c r="E171" s="17"/>
      <c r="F171" s="38">
        <f>IF(NOT(ISBLANK('Referenz Pflasterwerk'!$I17)),'Referenz Pflasterwerk'!$I17,'Referenz Pflasterwerk'!$F17)*IF(NOT(ISBLANK('Eingabe EF'!$AA10)),'Eingabe EF'!$AA10,'Eingabe EF'!$Y10)</f>
        <v>0.53351999999999999</v>
      </c>
      <c r="G171" s="38">
        <f>IF(NOT(ISBLANK('Referenz Pflasterwerk'!$I17)),'Referenz Pflasterwerk'!$I17,'Referenz Pflasterwerk'!$F17)*IF(NOT(ISBLANK('Eingabe EF'!$AE10)),'Eingabe EF'!$AE10,'Eingabe EF'!$AC10)</f>
        <v>0</v>
      </c>
      <c r="H171" s="38">
        <f>IF(NOT(ISBLANK('Referenz Pflasterwerk'!$I17)),'Referenz Pflasterwerk'!$I17,'Referenz Pflasterwerk'!$F17)*IF(NOT(ISBLANK('Eingabe EF'!$AI10)),'Eingabe EF'!$AI10,'Eingabe EF'!$AG10)</f>
        <v>7.9152E-2</v>
      </c>
      <c r="I171" s="17"/>
      <c r="J171" s="38">
        <f>F171+G171</f>
        <v>0.53351999999999999</v>
      </c>
      <c r="K171" s="38">
        <f>SUM(F171:H171)</f>
        <v>0.61267199999999999</v>
      </c>
      <c r="L171" s="17" t="s">
        <v>199</v>
      </c>
      <c r="N171" s="302"/>
      <c r="O171" s="17" t="s">
        <v>167</v>
      </c>
      <c r="P171" s="17"/>
      <c r="Q171" s="20"/>
      <c r="R171" s="20"/>
      <c r="S171" s="42">
        <f>IF(NOT(ISBLANK('Referenz Pflasterwerk'!$I18)),'Referenz Pflasterwerk'!$I18,'Referenz Pflasterwerk'!$F18)/1000*IF(NOT(ISBLANK('Eingabe Preise'!$K12)),'Eingabe Preise'!$K12,'Eingabe Preise'!$I12)</f>
        <v>25800</v>
      </c>
      <c r="T171" s="20" t="s">
        <v>109</v>
      </c>
    </row>
    <row r="172" spans="2:20" ht="15.75" hidden="1" outlineLevel="1" x14ac:dyDescent="0.3">
      <c r="B172" s="302"/>
      <c r="C172" s="17"/>
      <c r="D172" s="17" t="s">
        <v>167</v>
      </c>
      <c r="E172" s="17"/>
      <c r="F172" s="38">
        <f>IF(NOT(ISBLANK('Referenz Pflasterwerk'!$I18)),'Referenz Pflasterwerk'!$I18,'Referenz Pflasterwerk'!$F18)*IF(NOT(ISBLANK('Eingabe EF'!$AA11)),'Eingabe EF'!$AA11,'Eingabe EF'!$Y11)</f>
        <v>0</v>
      </c>
      <c r="G172" s="38">
        <f>IF(NOT(ISBLANK('Referenz Pflasterwerk'!$I18)),'Referenz Pflasterwerk'!$I18,'Referenz Pflasterwerk'!$F18)*IF(NOT(ISBLANK('Eingabe EF'!$AE11)),'Eingabe EF'!$AE11,'Eingabe EF'!$AC11)</f>
        <v>41.630815696237796</v>
      </c>
      <c r="H172" s="38">
        <f>IF(NOT(ISBLANK('Referenz Pflasterwerk'!$I18)),'Referenz Pflasterwerk'!$I18,'Referenz Pflasterwerk'!$F18)*IF(NOT(ISBLANK('Eingabe EF'!$AI11)),'Eingabe EF'!$AI11,'Eingabe EF'!$AG11)</f>
        <v>6.1029468036369554</v>
      </c>
      <c r="I172" s="17"/>
      <c r="J172" s="38">
        <f>F172+G172</f>
        <v>41.630815696237796</v>
      </c>
      <c r="K172" s="38">
        <f>SUM(F172:H172)</f>
        <v>47.73376249987475</v>
      </c>
      <c r="L172" s="17" t="s">
        <v>199</v>
      </c>
      <c r="N172" s="302"/>
      <c r="O172" s="17" t="s">
        <v>129</v>
      </c>
      <c r="P172" s="17"/>
      <c r="Q172" s="20"/>
      <c r="R172" s="20"/>
      <c r="S172" s="42">
        <f>IF(NOT(ISBLANK('Referenz Pflasterwerk'!$I19)),'Referenz Pflasterwerk'!$I19,'Referenz Pflasterwerk'!$F19)/1000*IF(NOT(ISBLANK('Eingabe Preise'!$K16)),'Eingabe Preise'!$K16,0)</f>
        <v>0</v>
      </c>
      <c r="T172" s="20" t="s">
        <v>109</v>
      </c>
    </row>
    <row r="173" spans="2:20" ht="15.75" hidden="1" outlineLevel="1" x14ac:dyDescent="0.3">
      <c r="B173" s="302"/>
      <c r="C173" s="17"/>
      <c r="D173" s="17" t="s">
        <v>129</v>
      </c>
      <c r="E173" s="17"/>
      <c r="F173" s="44">
        <f>IF(NOT(ISBLANK('Referenz Pflasterwerk'!$I19)),'Referenz Pflasterwerk'!$I19,'Referenz Pflasterwerk'!$F19)*IF(NOT(ISBLANK('Eingabe EF'!$AA12)),'Eingabe EF'!$AA12,0)</f>
        <v>0</v>
      </c>
      <c r="G173" s="44">
        <f>IF(NOT(ISBLANK('Referenz Pflasterwerk'!$I19)),'Referenz Pflasterwerk'!$I19,'Referenz Pflasterwerk'!$F19)*IF(NOT(ISBLANK('Eingabe EF'!$AE12)),'Eingabe EF'!$AE12,0)</f>
        <v>0</v>
      </c>
      <c r="H173" s="44">
        <f>IF(NOT(ISBLANK('Referenz Pflasterwerk'!$I19)),'Referenz Pflasterwerk'!$I19,'Referenz Pflasterwerk'!$F19)*IF(NOT(ISBLANK('Eingabe EF'!$AI12)),'Eingabe EF'!$AI12,0)</f>
        <v>0</v>
      </c>
      <c r="I173" s="17"/>
      <c r="J173" s="38">
        <f>F173+G173</f>
        <v>0</v>
      </c>
      <c r="K173" s="38">
        <f>SUM(F173:H173)</f>
        <v>0</v>
      </c>
      <c r="L173" s="17" t="s">
        <v>199</v>
      </c>
      <c r="N173" s="17" t="s">
        <v>149</v>
      </c>
      <c r="O173" s="17"/>
      <c r="P173" s="17"/>
      <c r="Q173" s="20"/>
      <c r="R173" s="20"/>
      <c r="S173" s="20"/>
      <c r="T173" s="20"/>
    </row>
    <row r="174" spans="2:20" hidden="1" outlineLevel="1" x14ac:dyDescent="0.2">
      <c r="B174" s="17"/>
      <c r="C174" s="17" t="s">
        <v>149</v>
      </c>
      <c r="D174" s="17"/>
      <c r="E174" s="17"/>
      <c r="F174" s="20"/>
      <c r="G174" s="20"/>
      <c r="H174" s="20"/>
      <c r="I174" s="17"/>
      <c r="J174" s="17"/>
      <c r="K174" s="17"/>
      <c r="L174" s="17"/>
      <c r="M174" s="43"/>
      <c r="N174" s="17"/>
      <c r="O174" s="17" t="s">
        <v>32</v>
      </c>
      <c r="P174" s="17"/>
      <c r="Q174" s="20"/>
      <c r="R174" s="20"/>
      <c r="S174" s="42">
        <f>IF(NOT(ISBLANK('Referenz Pflasterwerk'!$I21)),'Referenz Pflasterwerk'!$I21,'Referenz Pflasterwerk'!$F21)/1000*IF(NOT(ISBLANK('Eingabe Preise'!$K10)),'Eingabe Preise'!$K10,'Eingabe Preise'!$I10)</f>
        <v>2196</v>
      </c>
      <c r="T174" s="20" t="s">
        <v>109</v>
      </c>
    </row>
    <row r="175" spans="2:20" ht="15.75" hidden="1" outlineLevel="1" x14ac:dyDescent="0.3">
      <c r="B175" s="17"/>
      <c r="C175" s="17"/>
      <c r="D175" s="17" t="s">
        <v>32</v>
      </c>
      <c r="E175" s="17"/>
      <c r="F175" s="38">
        <f>IF(NOT(ISBLANK('Referenz Pflasterwerk'!$I21)),'Referenz Pflasterwerk'!$I21,'Referenz Pflasterwerk'!$F21)*IF(NOT(ISBLANK('Eingabe EF'!$AA9)),'Eingabe EF'!$AA9,'Eingabe EF'!$Y9)</f>
        <v>6.5937599999999996</v>
      </c>
      <c r="G175" s="38">
        <f>IF(NOT(ISBLANK('Referenz Pflasterwerk'!$I21)),'Referenz Pflasterwerk'!$I21,'Referenz Pflasterwerk'!$F21)*IF(NOT(ISBLANK('Eingabe EF'!$AE9)),'Eingabe EF'!$AE9,'Eingabe EF'!$AC9)</f>
        <v>0</v>
      </c>
      <c r="H175" s="38">
        <f>IF(NOT(ISBLANK('Referenz Pflasterwerk'!$I21)),'Referenz Pflasterwerk'!$I21,'Referenz Pflasterwerk'!$F21)*IF(NOT(ISBLANK('Eingabe EF'!$AG9)),'Eingabe EF'!$AG9,'Eingabe EF'!$AIC9)</f>
        <v>1.1286</v>
      </c>
      <c r="I175" s="17"/>
      <c r="J175" s="38">
        <f t="shared" ref="J175:J176" si="19">F175+G175</f>
        <v>6.5937599999999996</v>
      </c>
      <c r="K175" s="38">
        <f t="shared" ref="K175:K186" si="20">SUM(F175:H175)</f>
        <v>7.7223600000000001</v>
      </c>
      <c r="L175" s="17" t="s">
        <v>199</v>
      </c>
      <c r="M175" s="43"/>
      <c r="N175" s="17"/>
      <c r="O175" s="17" t="s">
        <v>33</v>
      </c>
      <c r="P175" s="17"/>
      <c r="Q175" s="20"/>
      <c r="R175" s="20"/>
      <c r="S175" s="42">
        <f>IF(NOT(ISBLANK('Referenz Pflasterwerk'!$I22)),'Referenz Pflasterwerk'!$I22,'Referenz Pflasterwerk'!$F22)/1000*IF(NOT(ISBLANK('Eingabe Preise'!$K11)),'Eingabe Preise'!$K11,'Eingabe Preise'!$I11)</f>
        <v>368</v>
      </c>
      <c r="T175" s="20" t="s">
        <v>109</v>
      </c>
    </row>
    <row r="176" spans="2:20" ht="15.75" hidden="1" outlineLevel="1" x14ac:dyDescent="0.3">
      <c r="B176" s="17"/>
      <c r="C176" s="17"/>
      <c r="D176" s="17" t="s">
        <v>33</v>
      </c>
      <c r="E176" s="17"/>
      <c r="F176" s="38">
        <f>IF(NOT(ISBLANK('Referenz Pflasterwerk'!$I22)),'Referenz Pflasterwerk'!$I22,'Referenz Pflasterwerk'!$F22)*IF(NOT(ISBLANK('Eingabe EF'!$AA10)),'Eingabe EF'!$AA10,'Eingabe EF'!$Y10)</f>
        <v>2.13408</v>
      </c>
      <c r="G176" s="38">
        <f>IF(NOT(ISBLANK('Referenz Pflasterwerk'!$I22)),'Referenz Pflasterwerk'!$I22,'Referenz Pflasterwerk'!$F22)*IF(NOT(ISBLANK('Eingabe EF'!$AE10)),'Eingabe EF'!$AE10,'Eingabe EF'!$AC10)</f>
        <v>0</v>
      </c>
      <c r="H176" s="38">
        <f>IF(NOT(ISBLANK('Referenz Pflasterwerk'!$I22)),'Referenz Pflasterwerk'!$I22,'Referenz Pflasterwerk'!$F22)*IF(NOT(ISBLANK('Eingabe EF'!$AG10)),'Eingabe EF'!$AG10,'Eingabe EF'!$AIC10)</f>
        <v>0.316608</v>
      </c>
      <c r="I176" s="17"/>
      <c r="J176" s="38">
        <f t="shared" si="19"/>
        <v>2.13408</v>
      </c>
      <c r="K176" s="38">
        <f t="shared" si="20"/>
        <v>2.450688</v>
      </c>
      <c r="L176" s="17" t="s">
        <v>199</v>
      </c>
      <c r="N176" s="17" t="s">
        <v>150</v>
      </c>
      <c r="O176" s="17"/>
      <c r="P176" s="17"/>
      <c r="Q176" s="20"/>
      <c r="R176" s="20"/>
      <c r="S176" s="20"/>
      <c r="T176" s="20"/>
    </row>
    <row r="177" spans="1:21" hidden="1" outlineLevel="1" x14ac:dyDescent="0.2">
      <c r="B177" s="17"/>
      <c r="C177" s="17" t="s">
        <v>150</v>
      </c>
      <c r="D177" s="17"/>
      <c r="E177" s="17"/>
      <c r="F177" s="20"/>
      <c r="G177" s="20"/>
      <c r="H177" s="20"/>
      <c r="I177" s="17"/>
      <c r="J177" s="17"/>
      <c r="K177" s="17"/>
      <c r="L177" s="17"/>
      <c r="M177" s="43"/>
      <c r="N177" s="17"/>
      <c r="O177" s="17" t="s">
        <v>168</v>
      </c>
      <c r="P177" s="17"/>
      <c r="Q177" s="20"/>
      <c r="R177" s="20"/>
      <c r="S177" s="42">
        <f>IF(NOT(ISBLANK('Referenz Pflasterwerk'!$I24)),'Referenz Pflasterwerk'!$I24,'Referenz Pflasterwerk'!$F24)/1000*IF(NOT(ISBLANK('Eingabe Preise'!$K12)),'Eingabe Preise'!$K12,'Eingabe Preise'!$I12)</f>
        <v>103200</v>
      </c>
      <c r="T177" s="20" t="s">
        <v>109</v>
      </c>
    </row>
    <row r="178" spans="1:21" ht="15.75" hidden="1" outlineLevel="1" x14ac:dyDescent="0.3">
      <c r="B178" s="17"/>
      <c r="C178" s="17"/>
      <c r="D178" s="17" t="s">
        <v>152</v>
      </c>
      <c r="E178" s="17"/>
      <c r="F178" s="38">
        <f>IF(NOT(ISBLANK('Referenz Pflasterwerk'!$I24)),'Referenz Pflasterwerk'!$I24,'Referenz Pflasterwerk'!$F24)*IF(NOT(ISBLANK('Eingabe EF'!$AA11)),'Eingabe EF'!$AA11,'Eingabe EF'!$Y11)</f>
        <v>0</v>
      </c>
      <c r="G178" s="38">
        <f>IF(NOT(ISBLANK('Referenz Pflasterwerk'!$I24)),'Referenz Pflasterwerk'!$I24,'Referenz Pflasterwerk'!$F24)*IF(NOT(ISBLANK('Eingabe EF'!$AE11)),'Eingabe EF'!$AE11,'Eingabe EF'!$AC11)</f>
        <v>166.52326278495119</v>
      </c>
      <c r="H178" s="38">
        <f>IF(NOT(ISBLANK('Referenz Pflasterwerk'!$I24)),'Referenz Pflasterwerk'!$I24,'Referenz Pflasterwerk'!$F24)*IF(NOT(ISBLANK('Eingabe EF'!$AI11)),'Eingabe EF'!$AI11,'Eingabe EF'!$AG11)</f>
        <v>24.411787214547822</v>
      </c>
      <c r="I178" s="17"/>
      <c r="J178" s="38">
        <f t="shared" ref="J178:J186" si="21">F178+G178</f>
        <v>166.52326278495119</v>
      </c>
      <c r="K178" s="38">
        <f t="shared" si="20"/>
        <v>190.935049999499</v>
      </c>
      <c r="L178" s="17" t="s">
        <v>199</v>
      </c>
      <c r="M178" s="43"/>
      <c r="N178" s="17"/>
      <c r="O178" s="17" t="s">
        <v>125</v>
      </c>
      <c r="P178" s="17"/>
      <c r="Q178" s="20"/>
      <c r="R178" s="20"/>
      <c r="S178" s="42">
        <f>IF(NOT(ISBLANK('Referenz Pflasterwerk'!$I25)),'Referenz Pflasterwerk'!$I25,'Referenz Pflasterwerk'!$F25)/1000*IF(NOT(ISBLANK('Eingabe Preise'!$K13)),'Eingabe Preise'!$K13,'Eingabe Preise'!$I13)</f>
        <v>0</v>
      </c>
      <c r="T178" s="20" t="s">
        <v>109</v>
      </c>
    </row>
    <row r="179" spans="1:21" ht="15.75" hidden="1" outlineLevel="1" x14ac:dyDescent="0.3">
      <c r="B179" s="17"/>
      <c r="C179" s="17"/>
      <c r="D179" s="17" t="s">
        <v>125</v>
      </c>
      <c r="E179" s="17"/>
      <c r="F179" s="38">
        <f>IF(NOT(ISBLANK('Referenz Pflasterwerk'!$I25)),'Referenz Pflasterwerk'!$I25,'Referenz Pflasterwerk'!$F25)*IF(NOT(ISBLANK('Eingabe EF'!$AA13)),'Eingabe EF'!$AA13,'Eingabe EF'!$Y13)</f>
        <v>0</v>
      </c>
      <c r="G179" s="38">
        <f>IF(NOT(ISBLANK('Referenz Pflasterwerk'!$I25)),'Referenz Pflasterwerk'!$I25,'Referenz Pflasterwerk'!$F25)*IF(NOT(ISBLANK('Eingabe EF'!$AE13)),'Eingabe EF'!$AE13,'Eingabe EF'!$AC13)</f>
        <v>0</v>
      </c>
      <c r="H179" s="38">
        <f>IF(NOT(ISBLANK('Referenz Pflasterwerk'!$I25)),'Referenz Pflasterwerk'!$I25,'Referenz Pflasterwerk'!$F25)*IF(NOT(ISBLANK('Eingabe EF'!$AI13)),'Eingabe EF'!$AI13,'Eingabe EF'!$AG13)</f>
        <v>0</v>
      </c>
      <c r="I179" s="17"/>
      <c r="J179" s="38">
        <f t="shared" si="21"/>
        <v>0</v>
      </c>
      <c r="K179" s="38">
        <f t="shared" si="20"/>
        <v>0</v>
      </c>
      <c r="L179" s="17" t="s">
        <v>199</v>
      </c>
      <c r="M179" s="43"/>
      <c r="N179" s="17"/>
      <c r="O179" s="17" t="s">
        <v>151</v>
      </c>
      <c r="P179" s="17"/>
      <c r="Q179" s="30"/>
      <c r="R179" s="17"/>
      <c r="S179" s="42">
        <f>IF(NOT(ISBLANK('Referenz Pflasterwerk'!$I26)),'Referenz Pflasterwerk'!$I26,'Referenz Pflasterwerk'!$F26)/1000*IF(NOT(ISBLANK('Eingabe Preise'!$K17)),'Eingabe Preise'!$K17,0)</f>
        <v>0</v>
      </c>
      <c r="T179" s="20" t="s">
        <v>109</v>
      </c>
    </row>
    <row r="180" spans="1:21" ht="15.75" hidden="1" outlineLevel="1" x14ac:dyDescent="0.3">
      <c r="B180" s="17"/>
      <c r="C180" s="17"/>
      <c r="D180" s="17" t="s">
        <v>151</v>
      </c>
      <c r="E180" s="17"/>
      <c r="F180" s="38">
        <f>IF(NOT(ISBLANK('Referenz Pflasterwerk'!$I26)),'Referenz Pflasterwerk'!$I26,'Referenz Pflasterwerk'!$F26)*IF(NOT(ISBLANK('Eingabe EF'!$AA14)),'Eingabe EF'!$AA14,0)</f>
        <v>0</v>
      </c>
      <c r="G180" s="38">
        <f>IF(NOT(ISBLANK('Referenz Pflasterwerk'!$I26)),'Referenz Pflasterwerk'!$I26,'Referenz Pflasterwerk'!$F26)*IF(NOT(ISBLANK('Eingabe EF'!$AE14)),'Eingabe EF'!$AE14,0)</f>
        <v>0</v>
      </c>
      <c r="H180" s="38">
        <f>IF(NOT(ISBLANK('Referenz Pflasterwerk'!$I26)),'Referenz Pflasterwerk'!$I26,'Referenz Pflasterwerk'!$F26)*IF(NOT(ISBLANK('Eingabe EF'!$AI14)),'Eingabe EF'!$AI14,0)</f>
        <v>0</v>
      </c>
      <c r="I180" s="17"/>
      <c r="J180" s="38">
        <f t="shared" si="21"/>
        <v>0</v>
      </c>
      <c r="K180" s="38">
        <f t="shared" si="20"/>
        <v>0</v>
      </c>
      <c r="L180" s="17" t="s">
        <v>199</v>
      </c>
      <c r="N180" s="17"/>
      <c r="O180" s="17"/>
      <c r="P180" s="17"/>
      <c r="Q180" s="30"/>
      <c r="R180" s="17"/>
      <c r="S180" s="17"/>
      <c r="T180" s="17"/>
    </row>
    <row r="181" spans="1:21" hidden="1" outlineLevel="1" x14ac:dyDescent="0.2">
      <c r="B181" s="17"/>
      <c r="C181" s="17"/>
      <c r="D181" s="17"/>
      <c r="E181" s="17"/>
      <c r="F181" s="20"/>
      <c r="G181" s="20"/>
      <c r="H181" s="20"/>
      <c r="I181" s="17"/>
      <c r="J181" s="17"/>
      <c r="K181" s="17"/>
      <c r="L181" s="17"/>
      <c r="M181" s="43"/>
      <c r="N181" s="17"/>
      <c r="O181" s="17" t="s">
        <v>35</v>
      </c>
      <c r="P181" s="17" t="s">
        <v>78</v>
      </c>
      <c r="Q181" s="30"/>
      <c r="R181" s="17"/>
      <c r="S181" s="42">
        <f>IF(NOT(ISBLANK('Referenz Pflasterwerk'!$I28)),'Referenz Pflasterwerk'!$I28,'Referenz Pflasterwerk'!$F28)*IF(NOT(ISBLANK('Eingabe Preise'!$K14)),'Eingabe Preise'!$K14,'Eingabe Preise'!$I14)</f>
        <v>35968</v>
      </c>
      <c r="T181" s="20" t="s">
        <v>109</v>
      </c>
    </row>
    <row r="182" spans="1:21" ht="15.75" hidden="1" outlineLevel="1" x14ac:dyDescent="0.3">
      <c r="B182" s="17"/>
      <c r="C182" s="17" t="s">
        <v>78</v>
      </c>
      <c r="D182" s="17" t="s">
        <v>35</v>
      </c>
      <c r="E182" s="17"/>
      <c r="F182" s="38">
        <f>IF(NOT(ISBLANK('Referenz Pflasterwerk'!$I28)),'Referenz Pflasterwerk'!$I28,'Referenz Pflasterwerk'!$F28)*IF(NOT(ISBLANK('Eingabe EF'!$AA15)),'Eingabe EF'!$AA15,'Eingabe EF'!$Y15)</f>
        <v>85.058737919999984</v>
      </c>
      <c r="G182" s="38">
        <f>IF(NOT(ISBLANK('Referenz Pflasterwerk'!$I28)),'Referenz Pflasterwerk'!$I28,'Referenz Pflasterwerk'!$F28)*IF(NOT(ISBLANK('Eingabe EF'!$AE15)),'Eingabe EF'!$AE15,'Eingabe EF'!$AC15)</f>
        <v>0</v>
      </c>
      <c r="H182" s="38">
        <f>IF(NOT(ISBLANK('Referenz Pflasterwerk'!$I28)),'Referenz Pflasterwerk'!$I28,'Referenz Pflasterwerk'!$F28)*IF(NOT(ISBLANK('Eingabe EF'!$AI15)),'Eingabe EF'!$AI15,'Eingabe EF'!$AG15)</f>
        <v>15.027966720000002</v>
      </c>
      <c r="I182" s="17"/>
      <c r="J182" s="38">
        <f t="shared" si="21"/>
        <v>85.058737919999984</v>
      </c>
      <c r="K182" s="38">
        <f t="shared" si="20"/>
        <v>100.08670463999999</v>
      </c>
      <c r="L182" s="17" t="s">
        <v>199</v>
      </c>
      <c r="M182" s="43"/>
      <c r="N182" s="17"/>
      <c r="O182" s="17" t="s">
        <v>35</v>
      </c>
      <c r="P182" s="17" t="s">
        <v>77</v>
      </c>
      <c r="Q182" s="30"/>
      <c r="R182" s="17"/>
      <c r="S182" s="42">
        <f>IF(NOT(ISBLANK('Referenz Pflasterwerk'!$I29)),'Referenz Pflasterwerk'!$I29,'Referenz Pflasterwerk'!$F29)*IF(NOT(ISBLANK('Eingabe Preise'!$K14)),'Eingabe Preise'!$K14,'Eingabe Preise'!$I14)</f>
        <v>4496</v>
      </c>
      <c r="T182" s="20" t="s">
        <v>109</v>
      </c>
    </row>
    <row r="183" spans="1:21" s="72" customFormat="1" ht="15.75" hidden="1" outlineLevel="1" x14ac:dyDescent="0.3">
      <c r="A183" s="6"/>
      <c r="B183" s="17"/>
      <c r="C183" s="17" t="s">
        <v>77</v>
      </c>
      <c r="D183" s="17" t="s">
        <v>35</v>
      </c>
      <c r="E183" s="17"/>
      <c r="F183" s="38">
        <f>IF(NOT(ISBLANK('Referenz Pflasterwerk'!$I29)),'Referenz Pflasterwerk'!$I29,'Referenz Pflasterwerk'!$F29)*IF(NOT(ISBLANK('Eingabe EF'!$AA15)),'Eingabe EF'!$AA15,'Eingabe EF'!$Y15)</f>
        <v>10.632342239999998</v>
      </c>
      <c r="G183" s="38">
        <f>IF(NOT(ISBLANK('Referenz Pflasterwerk'!$I29)),'Referenz Pflasterwerk'!$I29,'Referenz Pflasterwerk'!$F29)*IF(NOT(ISBLANK('Eingabe EF'!$AE15)),'Eingabe EF'!$AE15,'Eingabe EF'!$AC15)</f>
        <v>0</v>
      </c>
      <c r="H183" s="38">
        <f>IF(NOT(ISBLANK('Referenz Pflasterwerk'!$I29)),'Referenz Pflasterwerk'!$I29,'Referenz Pflasterwerk'!$F29)*IF(NOT(ISBLANK('Eingabe EF'!$AI15)),'Eingabe EF'!$AI15,'Eingabe EF'!$AG15)</f>
        <v>1.8784958400000002</v>
      </c>
      <c r="I183" s="17"/>
      <c r="J183" s="38">
        <f t="shared" si="21"/>
        <v>10.632342239999998</v>
      </c>
      <c r="K183" s="38">
        <f t="shared" si="20"/>
        <v>12.510838079999999</v>
      </c>
      <c r="L183" s="17" t="s">
        <v>199</v>
      </c>
      <c r="N183" s="21"/>
      <c r="O183" s="21"/>
      <c r="P183" s="21"/>
      <c r="Q183" s="73"/>
      <c r="R183" s="21"/>
      <c r="S183" s="21"/>
      <c r="T183" s="21"/>
      <c r="U183" s="6"/>
    </row>
    <row r="184" spans="1:21" ht="14.25" hidden="1" outlineLevel="1" x14ac:dyDescent="0.25">
      <c r="A184" s="72"/>
      <c r="B184" s="69"/>
      <c r="C184" s="69" t="s">
        <v>190</v>
      </c>
      <c r="D184" s="69"/>
      <c r="E184" s="69"/>
      <c r="F184" s="71">
        <f>F185+F186</f>
        <v>0</v>
      </c>
      <c r="G184" s="71">
        <f t="shared" ref="G184:H184" si="22">G185+G186</f>
        <v>0</v>
      </c>
      <c r="H184" s="71">
        <f t="shared" si="22"/>
        <v>578.62626120000004</v>
      </c>
      <c r="I184" s="69"/>
      <c r="J184" s="71">
        <f t="shared" si="21"/>
        <v>0</v>
      </c>
      <c r="K184" s="71">
        <f t="shared" si="20"/>
        <v>578.62626120000004</v>
      </c>
      <c r="L184" s="76" t="s">
        <v>198</v>
      </c>
      <c r="M184" s="43"/>
      <c r="N184" s="17"/>
      <c r="O184" s="17"/>
      <c r="P184" s="17"/>
      <c r="Q184" s="30"/>
      <c r="R184" s="17"/>
      <c r="S184" s="17"/>
      <c r="T184" s="17"/>
    </row>
    <row r="185" spans="1:21" ht="15.75" hidden="1" outlineLevel="1" x14ac:dyDescent="0.3">
      <c r="B185" s="17"/>
      <c r="C185" s="17"/>
      <c r="D185" s="17" t="s">
        <v>46</v>
      </c>
      <c r="E185" s="17"/>
      <c r="F185" s="38">
        <f>IF(NOT(ISBLANK('Referenz Pflasterwerk'!$I32)),'Referenz Pflasterwerk'!$I32,'Referenz Pflasterwerk'!$F32)*IF(NOT(ISBLANK('Eingabe EF'!$AA17)),'Eingabe EF'!$AA17,'Eingabe EF'!$Y17)</f>
        <v>0</v>
      </c>
      <c r="G185" s="38">
        <f>IF(NOT(ISBLANK('Referenz Pflasterwerk'!$I32)),'Referenz Pflasterwerk'!$I32,'Referenz Pflasterwerk'!$F32)*IF(NOT(ISBLANK('Eingabe EF'!$AE17)),'Eingabe EF'!$AE17,'Eingabe EF'!$AC17)</f>
        <v>0</v>
      </c>
      <c r="H185" s="38">
        <f>IF(NOT(ISBLANK('Referenz Pflasterwerk'!$I32)),'Referenz Pflasterwerk'!$I32,'Referenz Pflasterwerk'!$F32)*IF(NOT(ISBLANK('Eingabe EF'!$AI17)),'Eingabe EF'!$AI17,'Eingabe EF'!$AG17)</f>
        <v>250.21676159999998</v>
      </c>
      <c r="I185" s="17"/>
      <c r="J185" s="38">
        <f t="shared" si="21"/>
        <v>0</v>
      </c>
      <c r="K185" s="38">
        <f t="shared" si="20"/>
        <v>250.21676159999998</v>
      </c>
      <c r="L185" s="17" t="s">
        <v>199</v>
      </c>
      <c r="M185" s="43"/>
      <c r="N185" s="17"/>
      <c r="O185" s="17" t="s">
        <v>31</v>
      </c>
      <c r="P185" s="17"/>
      <c r="Q185" s="30"/>
      <c r="R185" s="17"/>
      <c r="S185" s="42">
        <f>IF(NOT(ISBLANK($G$33)),$G$33,$E$33)/IF(NOT(ISBLANK($G$38)),$G$38,$E$38)+IF(NOT(ISBLANK($G$33)),$G$33,$E$33)*(IF(NOT(ISBLANK($G$39)),$G$39,$E$39)/100)</f>
        <v>0</v>
      </c>
      <c r="T185" s="20" t="s">
        <v>109</v>
      </c>
    </row>
    <row r="186" spans="1:21" ht="15.75" hidden="1" outlineLevel="1" x14ac:dyDescent="0.3">
      <c r="B186" s="17"/>
      <c r="C186" s="17"/>
      <c r="D186" s="17" t="s">
        <v>47</v>
      </c>
      <c r="E186" s="17"/>
      <c r="F186" s="38">
        <f>IF(NOT(ISBLANK('Referenz Pflasterwerk'!$I33)),'Referenz Pflasterwerk'!$I33,'Referenz Pflasterwerk'!$F33)*IF(NOT(ISBLANK('Eingabe EF'!$AA18)),'Eingabe EF'!$AA18,'Eingabe EF'!$Y18)</f>
        <v>0</v>
      </c>
      <c r="G186" s="38">
        <f>IF(NOT(ISBLANK('Referenz Pflasterwerk'!$I33)),'Referenz Pflasterwerk'!$I33,'Referenz Pflasterwerk'!$F33)*IF(NOT(ISBLANK('Eingabe EF'!$AE18)),'Eingabe EF'!$AE18,'Eingabe EF'!$AC18)</f>
        <v>0</v>
      </c>
      <c r="H186" s="38">
        <f>IF(NOT(ISBLANK('Referenz Pflasterwerk'!$I33)),'Referenz Pflasterwerk'!$I33,'Referenz Pflasterwerk'!$F33)*IF(NOT(ISBLANK('Eingabe EF'!$AI18)),'Eingabe EF'!$AI18,'Eingabe EF'!$AG18)</f>
        <v>328.4094996</v>
      </c>
      <c r="I186" s="17"/>
      <c r="J186" s="38">
        <f t="shared" si="21"/>
        <v>0</v>
      </c>
      <c r="K186" s="38">
        <f t="shared" si="20"/>
        <v>328.4094996</v>
      </c>
      <c r="L186" s="17" t="s">
        <v>199</v>
      </c>
      <c r="N186" s="17"/>
      <c r="O186" s="45" t="s">
        <v>155</v>
      </c>
      <c r="P186" s="17"/>
      <c r="Q186" s="30"/>
      <c r="R186" s="17"/>
      <c r="S186" s="42">
        <f>IF(NOT(ISBLANK($G$34)),$G$34,$E$34)</f>
        <v>0</v>
      </c>
      <c r="T186" s="20" t="s">
        <v>109</v>
      </c>
    </row>
    <row r="187" spans="1:21" hidden="1" outlineLevel="1" x14ac:dyDescent="0.2">
      <c r="B187" s="17"/>
      <c r="C187" s="17"/>
      <c r="D187" s="17"/>
      <c r="E187" s="17"/>
      <c r="F187" s="20"/>
      <c r="G187" s="20"/>
      <c r="H187" s="20"/>
      <c r="I187" s="17"/>
      <c r="J187" s="20"/>
      <c r="K187" s="20"/>
      <c r="L187" s="17"/>
      <c r="N187" s="17"/>
      <c r="O187" s="45" t="s">
        <v>162</v>
      </c>
      <c r="P187" s="17"/>
      <c r="Q187" s="30"/>
      <c r="R187" s="17"/>
      <c r="S187" s="42">
        <f>IF(NOT(ISBLANK($G$35)),$G$35,$E$35)/IF(NOT(ISBLANK($G$38)),$G$38,$E$38)+IF(NOT(ISBLANK($G$35)),$G$35,$E$35)*(IF(NOT(ISBLANK($G$39)),$G$39,$E$39)/100)</f>
        <v>0</v>
      </c>
      <c r="T187" s="20" t="s">
        <v>109</v>
      </c>
    </row>
    <row r="188" spans="1:21" ht="14.25" hidden="1" outlineLevel="1" x14ac:dyDescent="0.25">
      <c r="B188" s="69"/>
      <c r="C188" s="69" t="s">
        <v>69</v>
      </c>
      <c r="D188" s="70"/>
      <c r="E188" s="70"/>
      <c r="F188" s="71">
        <f>SUM(F189:F192)</f>
        <v>0</v>
      </c>
      <c r="G188" s="71">
        <f>SUM(G189:G192)</f>
        <v>0</v>
      </c>
      <c r="H188" s="71">
        <f>SUM(H189:H192)</f>
        <v>7529.5751999999993</v>
      </c>
      <c r="I188" s="70"/>
      <c r="J188" s="71">
        <f t="shared" ref="J188:J192" si="23">F188+G188</f>
        <v>0</v>
      </c>
      <c r="K188" s="71">
        <f t="shared" ref="K188:K191" si="24">SUM(F188:H188)</f>
        <v>7529.5751999999993</v>
      </c>
      <c r="L188" s="76" t="s">
        <v>198</v>
      </c>
      <c r="M188" s="43"/>
      <c r="N188" s="17"/>
      <c r="O188" s="17"/>
      <c r="P188" s="17"/>
      <c r="Q188" s="17"/>
      <c r="R188" s="17"/>
      <c r="S188" s="17"/>
      <c r="T188" s="17"/>
    </row>
    <row r="189" spans="1:21" ht="15.75" hidden="1" outlineLevel="1" x14ac:dyDescent="0.3">
      <c r="B189" s="302"/>
      <c r="C189" s="17"/>
      <c r="D189" s="17" t="s">
        <v>48</v>
      </c>
      <c r="E189" s="17"/>
      <c r="F189" s="38">
        <f>$E$157*IF(NOT(ISBLANK('Referenz Pflasterwerk'!$I36)),'Referenz Pflasterwerk'!$I36,'Referenz Pflasterwerk'!$F36)*IF(NOT(ISBLANK('Eingabe EF'!$AA21)),'Eingabe EF'!$AA21,'Eingabe EF'!$Y21)*IF(NOT(ISBLANK('Referenz Pflasterwerk'!$I$12)),'Referenz Pflasterwerk'!$I$12,'Referenz Pflasterwerk'!$F$12)</f>
        <v>0</v>
      </c>
      <c r="G189" s="38">
        <f>$E$157*IF(NOT(ISBLANK('Referenz Pflasterwerk'!$I36)),'Referenz Pflasterwerk'!$I36,'Referenz Pflasterwerk'!$F36)*IF(NOT(ISBLANK('Eingabe EF'!$AE21)),'Eingabe EF'!$AE21,'Eingabe EF'!$AC21)*IF(NOT(ISBLANK('Referenz Pflasterwerk'!$I$12)),'Referenz Pflasterwerk'!$I$12,'Referenz Pflasterwerk'!$F$12)</f>
        <v>0</v>
      </c>
      <c r="H189" s="38">
        <f>$E$157*IF(NOT(ISBLANK('Referenz Pflasterwerk'!$I36)),'Referenz Pflasterwerk'!$I36,'Referenz Pflasterwerk'!$F36)*IF(NOT(ISBLANK('Eingabe EF'!$AI21)),'Eingabe EF'!$AI21,'Eingabe EF'!$AG21)*IF(NOT(ISBLANK('Referenz Pflasterwerk'!$I$12)),'Referenz Pflasterwerk'!$I$12,'Referenz Pflasterwerk'!$F$12)</f>
        <v>2101.7325000000005</v>
      </c>
      <c r="I189" s="17"/>
      <c r="J189" s="38">
        <f t="shared" si="23"/>
        <v>0</v>
      </c>
      <c r="K189" s="38">
        <f t="shared" si="24"/>
        <v>2101.7325000000005</v>
      </c>
      <c r="L189" s="17" t="s">
        <v>199</v>
      </c>
      <c r="M189" s="43"/>
      <c r="N189" s="17"/>
      <c r="O189" s="17"/>
      <c r="P189" s="17"/>
      <c r="Q189" s="17"/>
      <c r="R189" s="17"/>
      <c r="S189" s="17"/>
      <c r="T189" s="17"/>
    </row>
    <row r="190" spans="1:21" ht="15.75" hidden="1" outlineLevel="1" x14ac:dyDescent="0.3">
      <c r="B190" s="302"/>
      <c r="C190" s="17"/>
      <c r="D190" s="17" t="s">
        <v>50</v>
      </c>
      <c r="E190" s="17"/>
      <c r="F190" s="38">
        <f>$E$158*IF(NOT(ISBLANK('Referenz Pflasterwerk'!$I37)),'Referenz Pflasterwerk'!$I37,'Referenz Pflasterwerk'!$F37)*IF(NOT(ISBLANK('Eingabe EF'!$AA22)),'Eingabe EF'!$AA22,'Eingabe EF'!$Y22)*IF(NOT(ISBLANK('Referenz Pflasterwerk'!$I$12)),'Referenz Pflasterwerk'!$I$12,'Referenz Pflasterwerk'!$F$12)</f>
        <v>0</v>
      </c>
      <c r="G190" s="38">
        <f>$E$158*IF(NOT(ISBLANK('Referenz Pflasterwerk'!$I37)),'Referenz Pflasterwerk'!$I37,'Referenz Pflasterwerk'!$F37)*IF(NOT(ISBLANK('Eingabe EF'!$AE22)),'Eingabe EF'!$AE22,'Eingabe EF'!$AC22)*IF(NOT(ISBLANK('Referenz Pflasterwerk'!$I$12)),'Referenz Pflasterwerk'!$I$12,'Referenz Pflasterwerk'!$F$12)</f>
        <v>0</v>
      </c>
      <c r="H190" s="38">
        <f>$E$158*IF(NOT(ISBLANK('Referenz Pflasterwerk'!$I37)),'Referenz Pflasterwerk'!$I37,'Referenz Pflasterwerk'!$F37)*IF(NOT(ISBLANK('Eingabe EF'!$AI22)),'Eingabe EF'!$AI22,'Eingabe EF'!$AG22)*IF(NOT(ISBLANK('Referenz Pflasterwerk'!$I$12)),'Referenz Pflasterwerk'!$I$12,'Referenz Pflasterwerk'!$F$12)</f>
        <v>4893.7181999999993</v>
      </c>
      <c r="I190" s="17"/>
      <c r="J190" s="38">
        <f t="shared" si="23"/>
        <v>0</v>
      </c>
      <c r="K190" s="38">
        <f t="shared" si="24"/>
        <v>4893.7181999999993</v>
      </c>
      <c r="L190" s="17" t="s">
        <v>199</v>
      </c>
      <c r="M190" s="43"/>
      <c r="N190" s="17"/>
      <c r="O190" s="17" t="s">
        <v>201</v>
      </c>
      <c r="P190" s="17"/>
      <c r="Q190" s="30"/>
      <c r="R190" s="17"/>
      <c r="S190" s="42">
        <f>F231*IF(NOT(ISBLANK('Eingabe Preise'!$K21)),'Eingabe Preise'!$K21,'Eingabe Preise'!$I21)</f>
        <v>4797.0396071999994</v>
      </c>
      <c r="T190" s="20" t="s">
        <v>109</v>
      </c>
    </row>
    <row r="191" spans="1:21" ht="15.75" hidden="1" outlineLevel="1" x14ac:dyDescent="0.3">
      <c r="B191" s="302"/>
      <c r="C191" s="17"/>
      <c r="D191" s="17" t="s">
        <v>51</v>
      </c>
      <c r="E191" s="17"/>
      <c r="F191" s="38">
        <f>$E$159*IF(NOT(ISBLANK('Referenz Pflasterwerk'!$I38)),'Referenz Pflasterwerk'!$I38,'Referenz Pflasterwerk'!$F38)*IF(NOT(ISBLANK('Eingabe EF'!$AA23)),'Eingabe EF'!$AA23,'Eingabe EF'!$Y23)*IF(NOT(ISBLANK('Referenz Pflasterwerk'!$I$12)),'Referenz Pflasterwerk'!$I$12,'Referenz Pflasterwerk'!$F$12)</f>
        <v>0</v>
      </c>
      <c r="G191" s="38">
        <f>$E$159*IF(NOT(ISBLANK('Referenz Pflasterwerk'!$I38)),'Referenz Pflasterwerk'!$I38,'Referenz Pflasterwerk'!$F38)*IF(NOT(ISBLANK('Eingabe EF'!$AE23)),'Eingabe EF'!$AE23,'Eingabe EF'!$AC23)*IF(NOT(ISBLANK('Referenz Pflasterwerk'!$I$12)),'Referenz Pflasterwerk'!$I$12,'Referenz Pflasterwerk'!$F$12)</f>
        <v>0</v>
      </c>
      <c r="H191" s="38">
        <f>$E$159*IF(NOT(ISBLANK('Referenz Pflasterwerk'!$I38)),'Referenz Pflasterwerk'!$I38,'Referenz Pflasterwerk'!$F38)*IF(NOT(ISBLANK('Eingabe EF'!$AI23)),'Eingabe EF'!$AI23,'Eingabe EF'!$AG23)*IF(NOT(ISBLANK('Referenz Pflasterwerk'!$I$12)),'Referenz Pflasterwerk'!$I$12,'Referenz Pflasterwerk'!$F$12)</f>
        <v>534.12450000000001</v>
      </c>
      <c r="I191" s="17"/>
      <c r="J191" s="38">
        <f t="shared" si="23"/>
        <v>0</v>
      </c>
      <c r="K191" s="38">
        <f t="shared" si="24"/>
        <v>534.12450000000001</v>
      </c>
      <c r="L191" s="17" t="s">
        <v>199</v>
      </c>
      <c r="M191" s="43"/>
      <c r="N191" s="17"/>
      <c r="O191" s="17" t="s">
        <v>202</v>
      </c>
      <c r="P191" s="17"/>
      <c r="Q191" s="30"/>
      <c r="R191" s="17"/>
      <c r="S191" s="42">
        <f>G231*IF(NOT(ISBLANK('Eingabe Preise'!$K22)),'Eingabe Preise'!$K22,'Eingabe Preise'!$I22)</f>
        <v>9366.9335316535035</v>
      </c>
      <c r="T191" s="20" t="s">
        <v>109</v>
      </c>
    </row>
    <row r="192" spans="1:21" ht="15.75" hidden="1" outlineLevel="1" x14ac:dyDescent="0.3">
      <c r="B192" s="302"/>
      <c r="C192" s="17"/>
      <c r="D192" s="17" t="s">
        <v>163</v>
      </c>
      <c r="E192" s="17"/>
      <c r="F192" s="38">
        <f>$E$160*IF(NOT(ISBLANK('Referenz Pflasterwerk'!$I39)),'Referenz Pflasterwerk'!$I39,'Referenz Pflasterwerk'!$F39)*IF(NOT(ISBLANK('Eingabe EF'!$AA24)),'Eingabe EF'!$AA24,0)*IF(NOT(ISBLANK('Referenz Pflasterwerk'!$I$12)),'Referenz Pflasterwerk'!$I$12,'Referenz Pflasterwerk'!$F$12)</f>
        <v>0</v>
      </c>
      <c r="G192" s="38">
        <f>$E$160*IF(NOT(ISBLANK('Referenz Pflasterwerk'!$I39)),'Referenz Pflasterwerk'!$I39,'Referenz Pflasterwerk'!$F39)*IF(NOT(ISBLANK('Eingabe EF'!$AE24)),'Eingabe EF'!$AE24,0)*IF(NOT(ISBLANK('Referenz Pflasterwerk'!$I$12)),'Referenz Pflasterwerk'!$I$12,'Referenz Pflasterwerk'!$F$12)</f>
        <v>0</v>
      </c>
      <c r="H192" s="38">
        <f>$E$160*IF(NOT(ISBLANK('Referenz Pflasterwerk'!$I39)),'Referenz Pflasterwerk'!$I39,'Referenz Pflasterwerk'!$F39)*IF(NOT(ISBLANK('Eingabe EF'!$AI24)),'Eingabe EF'!$AI24,0)*IF(NOT(ISBLANK('Referenz Pflasterwerk'!$I$12)),'Referenz Pflasterwerk'!$I$12,'Referenz Pflasterwerk'!$F$12)</f>
        <v>0</v>
      </c>
      <c r="I192" s="17"/>
      <c r="J192" s="38">
        <f t="shared" si="23"/>
        <v>0</v>
      </c>
      <c r="K192" s="38">
        <f t="shared" ref="K192" si="25">SUM(F192:H192)</f>
        <v>0</v>
      </c>
      <c r="L192" s="17" t="s">
        <v>199</v>
      </c>
      <c r="M192" s="43"/>
      <c r="N192" s="17"/>
      <c r="O192" s="17" t="s">
        <v>203</v>
      </c>
      <c r="P192" s="17"/>
      <c r="Q192" s="30"/>
      <c r="R192" s="17"/>
      <c r="S192" s="42">
        <f>H231*IF(NOT(ISBLANK('Eingabe Preise'!$K23)),'Eingabe Preise'!$K23,'Eingabe Preise'!$I23)</f>
        <v>466057.30025092867</v>
      </c>
      <c r="T192" s="20" t="s">
        <v>109</v>
      </c>
    </row>
    <row r="193" spans="2:20" hidden="1" outlineLevel="1" x14ac:dyDescent="0.2">
      <c r="B193" s="17"/>
      <c r="C193" s="17"/>
      <c r="D193" s="17"/>
      <c r="E193" s="17"/>
      <c r="F193" s="20"/>
      <c r="G193" s="20"/>
      <c r="H193" s="20"/>
      <c r="I193" s="17"/>
      <c r="J193" s="17"/>
      <c r="K193" s="20"/>
      <c r="L193" s="20"/>
      <c r="M193" s="43"/>
      <c r="N193" s="17"/>
      <c r="O193" s="17"/>
      <c r="P193" s="17"/>
      <c r="Q193" s="30"/>
      <c r="R193" s="17"/>
      <c r="S193" s="66"/>
      <c r="T193" s="17"/>
    </row>
    <row r="194" spans="2:20" ht="14.25" hidden="1" outlineLevel="1" x14ac:dyDescent="0.25">
      <c r="B194" s="69"/>
      <c r="C194" s="69" t="s">
        <v>178</v>
      </c>
      <c r="D194" s="70"/>
      <c r="E194" s="70"/>
      <c r="F194" s="71">
        <f>SUM(F195:F197)</f>
        <v>0</v>
      </c>
      <c r="G194" s="71">
        <f>SUM(G195:G197)</f>
        <v>0</v>
      </c>
      <c r="H194" s="71">
        <f>SUM(H195:H197)</f>
        <v>387.03000000000003</v>
      </c>
      <c r="I194" s="70"/>
      <c r="J194" s="71">
        <f t="shared" ref="J194" si="26">F194+G194</f>
        <v>0</v>
      </c>
      <c r="K194" s="71">
        <f t="shared" ref="K194" si="27">SUM(F194:H194)</f>
        <v>387.03000000000003</v>
      </c>
      <c r="L194" s="76" t="s">
        <v>198</v>
      </c>
      <c r="M194" s="43"/>
      <c r="N194" s="17"/>
      <c r="O194" s="17"/>
      <c r="P194" s="17"/>
      <c r="Q194" s="30"/>
      <c r="R194" s="17"/>
      <c r="S194" s="17"/>
      <c r="T194" s="17"/>
    </row>
    <row r="195" spans="2:20" ht="15.75" hidden="1" outlineLevel="1" x14ac:dyDescent="0.3">
      <c r="B195" s="17"/>
      <c r="C195" s="17"/>
      <c r="D195" s="17" t="s">
        <v>179</v>
      </c>
      <c r="E195" s="17"/>
      <c r="F195" s="38">
        <f>IF(NOT(ISBLANK('Referenz Pflasterwerk'!$I42)),'Referenz Pflasterwerk'!$I42,'Referenz Pflasterwerk'!$F42)*IF(NOT(ISBLANK('Eingabe EF'!$AA27)),'Eingabe EF'!$AA27,'Eingabe EF'!$Y27)*IF(NOT(ISBLANK('Referenz Pflasterwerk'!$I$12)),'Referenz Pflasterwerk'!$I$12,'Referenz Pflasterwerk'!$F$12)</f>
        <v>0</v>
      </c>
      <c r="G195" s="38">
        <f>IF(NOT(ISBLANK('Referenz Pflasterwerk'!$I42)),'Referenz Pflasterwerk'!$I42,'Referenz Pflasterwerk'!$F42)*IF(NOT(ISBLANK('Eingabe EF'!$AE27)),'Eingabe EF'!$AE27,'Eingabe EF'!$AC27)*IF(NOT(ISBLANK('Referenz Pflasterwerk'!$I$12)),'Referenz Pflasterwerk'!$I$12,'Referenz Pflasterwerk'!$F$12)</f>
        <v>0</v>
      </c>
      <c r="H195" s="38">
        <f>IF(NOT(ISBLANK('Referenz Pflasterwerk'!$I42)),'Referenz Pflasterwerk'!$I42,'Referenz Pflasterwerk'!$F42)*IF(NOT(ISBLANK('Eingabe EF'!$AI27)),'Eingabe EF'!$AI27,'Eingabe EF'!$AG27)*IF(NOT(ISBLANK('Referenz Pflasterwerk'!$I$12)),'Referenz Pflasterwerk'!$I$12,'Referenz Pflasterwerk'!$F$12)</f>
        <v>387.03000000000003</v>
      </c>
      <c r="I195" s="17"/>
      <c r="J195" s="38">
        <f>F195+G195</f>
        <v>0</v>
      </c>
      <c r="K195" s="38">
        <f>SUM(F195:H195)</f>
        <v>387.03000000000003</v>
      </c>
      <c r="L195" s="17" t="s">
        <v>199</v>
      </c>
      <c r="M195" s="43"/>
      <c r="N195" s="17"/>
      <c r="O195" s="17"/>
      <c r="P195" s="17"/>
      <c r="Q195" s="30"/>
      <c r="R195" s="17"/>
      <c r="S195" s="66"/>
      <c r="T195" s="17"/>
    </row>
    <row r="196" spans="2:20" ht="15.75" hidden="1" outlineLevel="1" x14ac:dyDescent="0.3">
      <c r="B196" s="17"/>
      <c r="C196" s="17"/>
      <c r="D196" s="17" t="s">
        <v>180</v>
      </c>
      <c r="E196" s="17"/>
      <c r="F196" s="38">
        <f>IF(NOT(ISBLANK('Referenz Pflasterwerk'!$I43)),'Referenz Pflasterwerk'!$I43,'Referenz Pflasterwerk'!$F43)*IF(NOT(ISBLANK('Eingabe EF'!$AA28)),'Eingabe EF'!$AA28,0)*IF(NOT(ISBLANK('Referenz Pflasterwerk'!$I$12)),'Referenz Pflasterwerk'!$I$12,'Referenz Pflasterwerk'!$F$12)</f>
        <v>0</v>
      </c>
      <c r="G196" s="38">
        <f>IF(NOT(ISBLANK('Referenz Pflasterwerk'!$I43)),'Referenz Pflasterwerk'!$I43,'Referenz Pflasterwerk'!$F43)*IF(NOT(ISBLANK('Eingabe EF'!$AE28)),'Eingabe EF'!$AE28,0)*IF(NOT(ISBLANK('Referenz Pflasterwerk'!$I$12)),'Referenz Pflasterwerk'!$I$12,'Referenz Pflasterwerk'!$F$12)</f>
        <v>0</v>
      </c>
      <c r="H196" s="38">
        <f>IF(NOT(ISBLANK('Referenz Pflasterwerk'!$I43)),'Referenz Pflasterwerk'!$I43,'Referenz Pflasterwerk'!$F43)*IF(NOT(ISBLANK('Eingabe EF'!$AI28)),'Eingabe EF'!$AI28,0)*IF(NOT(ISBLANK('Referenz Pflasterwerk'!$I$12)),'Referenz Pflasterwerk'!$I$12,'Referenz Pflasterwerk'!$F$12)</f>
        <v>0</v>
      </c>
      <c r="I196" s="17"/>
      <c r="J196" s="38">
        <f t="shared" ref="J196:J197" si="28">F196+G196</f>
        <v>0</v>
      </c>
      <c r="K196" s="38">
        <f t="shared" ref="K196:K197" si="29">SUM(F196:H196)</f>
        <v>0</v>
      </c>
      <c r="L196" s="17" t="s">
        <v>199</v>
      </c>
      <c r="M196" s="43"/>
      <c r="N196" s="43"/>
      <c r="O196" s="43"/>
      <c r="P196" s="43"/>
      <c r="Q196" s="43"/>
      <c r="R196" s="43"/>
      <c r="S196" s="43"/>
    </row>
    <row r="197" spans="2:20" ht="15.75" hidden="1" outlineLevel="1" x14ac:dyDescent="0.3">
      <c r="B197" s="17"/>
      <c r="C197" s="17"/>
      <c r="D197" s="17" t="s">
        <v>181</v>
      </c>
      <c r="E197" s="17"/>
      <c r="F197" s="38">
        <f>IF(NOT(ISBLANK('Referenz Pflasterwerk'!$I44)),'Referenz Pflasterwerk'!$I44,'Referenz Pflasterwerk'!$F44)*IF(NOT(ISBLANK('Eingabe EF'!$AA29)),'Eingabe EF'!$AA29,0)*IF(NOT(ISBLANK('Referenz Pflasterwerk'!$I$12)),'Referenz Pflasterwerk'!$I$12,'Referenz Pflasterwerk'!$F$12)</f>
        <v>0</v>
      </c>
      <c r="G197" s="38">
        <f>IF(NOT(ISBLANK('Referenz Pflasterwerk'!$I44)),'Referenz Pflasterwerk'!$I44,'Referenz Pflasterwerk'!$F44)*IF(NOT(ISBLANK('Eingabe EF'!$AE29)),'Eingabe EF'!$AE29,0)*IF(NOT(ISBLANK('Referenz Pflasterwerk'!$I$12)),'Referenz Pflasterwerk'!$I$12,'Referenz Pflasterwerk'!$F$12)</f>
        <v>0</v>
      </c>
      <c r="H197" s="38">
        <f>IF(NOT(ISBLANK('Referenz Pflasterwerk'!$I44)),'Referenz Pflasterwerk'!$I44,'Referenz Pflasterwerk'!$F44)*IF(NOT(ISBLANK('Eingabe EF'!$AI29)),'Eingabe EF'!$AI29,0)*IF(NOT(ISBLANK('Referenz Pflasterwerk'!$I$12)),'Referenz Pflasterwerk'!$I$12,'Referenz Pflasterwerk'!$F$12)</f>
        <v>0</v>
      </c>
      <c r="I197" s="17"/>
      <c r="J197" s="38">
        <f t="shared" si="28"/>
        <v>0</v>
      </c>
      <c r="K197" s="38">
        <f t="shared" si="29"/>
        <v>0</v>
      </c>
      <c r="L197" s="17" t="s">
        <v>199</v>
      </c>
      <c r="M197" s="43"/>
      <c r="N197" s="43"/>
      <c r="O197" s="43"/>
      <c r="P197" s="43"/>
      <c r="Q197" s="43"/>
      <c r="R197" s="43"/>
      <c r="S197" s="43"/>
    </row>
    <row r="198" spans="2:20" hidden="1" outlineLevel="1" x14ac:dyDescent="0.2">
      <c r="B198" s="17"/>
      <c r="C198" s="17"/>
      <c r="D198" s="17"/>
      <c r="E198" s="17"/>
      <c r="F198" s="20"/>
      <c r="G198" s="20"/>
      <c r="H198" s="20"/>
      <c r="I198" s="17"/>
      <c r="J198" s="17"/>
      <c r="K198" s="20"/>
      <c r="L198" s="20"/>
      <c r="M198" s="43"/>
      <c r="N198" s="43"/>
      <c r="O198" s="43"/>
      <c r="P198" s="43"/>
      <c r="Q198" s="43"/>
      <c r="R198" s="43"/>
      <c r="S198" s="43"/>
    </row>
    <row r="199" spans="2:20" ht="14.25" hidden="1" outlineLevel="1" x14ac:dyDescent="0.25">
      <c r="B199" s="17"/>
      <c r="C199" s="17"/>
      <c r="D199" s="21" t="s">
        <v>58</v>
      </c>
      <c r="E199" s="21"/>
      <c r="F199" s="74">
        <f>IF(NOT(ISBLANK('Referenz Pflasterwerk'!$I46)),'Referenz Pflasterwerk'!$I46,'Referenz Pflasterwerk'!$F46)*IF(NOT(ISBLANK('Eingabe EF'!$AA31)),'Eingabe EF'!$AA31,'Eingabe EF'!$Y31)*IF(NOT(ISBLANK('Referenz Pflasterwerk'!$I$12)),'Referenz Pflasterwerk'!$I$12,'Referenz Pflasterwerk'!$F$12)</f>
        <v>0</v>
      </c>
      <c r="G199" s="74">
        <f>IF(NOT(ISBLANK('Referenz Pflasterwerk'!$I46)),'Referenz Pflasterwerk'!$I46,'Referenz Pflasterwerk'!$F46)*IF(NOT(ISBLANK('Eingabe EF'!$AE31)),'Eingabe EF'!$AE31,'Eingabe EF'!$AC31)*IF(NOT(ISBLANK('Referenz Pflasterwerk'!$I$12)),'Referenz Pflasterwerk'!$I$12,'Referenz Pflasterwerk'!$F$12)</f>
        <v>0</v>
      </c>
      <c r="H199" s="74">
        <f>IF(NOT(ISBLANK('Referenz Pflasterwerk'!$I46)),'Referenz Pflasterwerk'!$I46,'Referenz Pflasterwerk'!$F46)*IF(NOT(ISBLANK('Eingabe EF'!$AI31)),'Eingabe EF'!$AI31,'Eingabe EF'!$AG31)*IF(NOT(ISBLANK('Referenz Pflasterwerk'!$I$12)),'Referenz Pflasterwerk'!$I$12,'Referenz Pflasterwerk'!$F$12)</f>
        <v>1040</v>
      </c>
      <c r="I199" s="21"/>
      <c r="J199" s="74">
        <f>F199+G199</f>
        <v>0</v>
      </c>
      <c r="K199" s="74">
        <f t="shared" ref="K199" si="30">SUM(F199:H199)</f>
        <v>1040</v>
      </c>
      <c r="L199" s="21" t="s">
        <v>198</v>
      </c>
      <c r="M199" s="43"/>
      <c r="N199" s="43"/>
      <c r="O199" s="43"/>
      <c r="P199" s="43"/>
      <c r="Q199" s="43"/>
      <c r="R199" s="43"/>
      <c r="S199" s="43"/>
    </row>
    <row r="200" spans="2:20" hidden="1" outlineLevel="1" x14ac:dyDescent="0.2">
      <c r="B200" s="17"/>
      <c r="C200" s="17"/>
      <c r="D200" s="17"/>
      <c r="E200" s="17"/>
      <c r="F200" s="20"/>
      <c r="G200" s="20"/>
      <c r="H200" s="20"/>
      <c r="I200" s="17"/>
      <c r="J200" s="17"/>
      <c r="K200" s="20"/>
      <c r="L200" s="20"/>
      <c r="M200" s="43"/>
      <c r="N200" s="43"/>
      <c r="O200" s="43"/>
      <c r="P200" s="43"/>
      <c r="Q200" s="43"/>
      <c r="R200" s="43"/>
      <c r="S200" s="43"/>
    </row>
    <row r="201" spans="2:20" ht="14.25" hidden="1" outlineLevel="1" x14ac:dyDescent="0.25">
      <c r="B201" s="69"/>
      <c r="C201" s="69" t="s">
        <v>182</v>
      </c>
      <c r="D201" s="70"/>
      <c r="E201" s="70"/>
      <c r="F201" s="71">
        <f>SUM(F202:F204)</f>
        <v>0</v>
      </c>
      <c r="G201" s="71">
        <f>SUM(G202:G204)</f>
        <v>0</v>
      </c>
      <c r="H201" s="71">
        <f>SUM(H202:H204)</f>
        <v>425.55599999999998</v>
      </c>
      <c r="I201" s="70"/>
      <c r="J201" s="71">
        <f t="shared" ref="J201" si="31">F201+G201</f>
        <v>0</v>
      </c>
      <c r="K201" s="71">
        <f t="shared" ref="K201" si="32">SUM(F201:H201)</f>
        <v>425.55599999999998</v>
      </c>
      <c r="L201" s="76" t="s">
        <v>198</v>
      </c>
      <c r="M201" s="43"/>
      <c r="N201" s="43"/>
      <c r="O201" s="43"/>
      <c r="P201" s="43"/>
      <c r="Q201" s="43"/>
      <c r="R201" s="43"/>
      <c r="S201" s="43"/>
    </row>
    <row r="202" spans="2:20" ht="15.75" hidden="1" outlineLevel="1" x14ac:dyDescent="0.3">
      <c r="B202" s="302"/>
      <c r="C202" s="17"/>
      <c r="D202" s="17" t="s">
        <v>60</v>
      </c>
      <c r="E202" s="17"/>
      <c r="F202" s="38">
        <f>IF(NOT(ISBLANK('Referenz Pflasterwerk'!$I49)),'Referenz Pflasterwerk'!$I49,'Referenz Pflasterwerk'!$F49)*IF(NOT(ISBLANK('Eingabe EF'!$AA34)),'Eingabe EF'!$AA34,'Eingabe EF'!$Y34)*IF(NOT(ISBLANK('Referenz Pflasterwerk'!$I$12)),'Referenz Pflasterwerk'!$I$12,'Referenz Pflasterwerk'!$F$12)</f>
        <v>0</v>
      </c>
      <c r="G202" s="38">
        <f>IF(NOT(ISBLANK('Referenz Pflasterwerk'!$I49)),'Referenz Pflasterwerk'!$I49,'Referenz Pflasterwerk'!$F49)*IF(NOT(ISBLANK('Eingabe EF'!$AE34)),'Eingabe EF'!$AE34,'Eingabe EF'!$AC34)*IF(NOT(ISBLANK('Referenz Pflasterwerk'!$I$12)),'Referenz Pflasterwerk'!$I$12,'Referenz Pflasterwerk'!$F$12)</f>
        <v>0</v>
      </c>
      <c r="H202" s="38">
        <f>E162*IF(NOT(ISBLANK('Referenz Pflasterwerk'!$I49)),'Referenz Pflasterwerk'!$I49,'Referenz Pflasterwerk'!$F49)*IF(NOT(ISBLANK('Eingabe EF'!$AI34)),'Eingabe EF'!$AI34,'Eingabe EF'!$AG34)*IF(NOT(ISBLANK('Referenz Pflasterwerk'!$I$12)),'Referenz Pflasterwerk'!$I$12,'Referenz Pflasterwerk'!$F$12)</f>
        <v>356.4</v>
      </c>
      <c r="I202" s="17"/>
      <c r="J202" s="38">
        <f>F202+G202</f>
        <v>0</v>
      </c>
      <c r="K202" s="38">
        <f>SUM(F202:H202)</f>
        <v>356.4</v>
      </c>
      <c r="L202" s="17" t="s">
        <v>199</v>
      </c>
      <c r="M202" s="43"/>
      <c r="N202" s="43"/>
      <c r="O202" s="43"/>
      <c r="P202" s="43"/>
      <c r="Q202" s="43"/>
      <c r="R202" s="43"/>
      <c r="S202" s="43"/>
    </row>
    <row r="203" spans="2:20" ht="15.75" hidden="1" outlineLevel="1" x14ac:dyDescent="0.3">
      <c r="B203" s="302"/>
      <c r="C203" s="17"/>
      <c r="D203" s="17" t="s">
        <v>61</v>
      </c>
      <c r="E203" s="17"/>
      <c r="F203" s="38">
        <f>E163*IF(NOT(ISBLANK('Referenz Pflasterwerk'!$I50)),'Referenz Pflasterwerk'!$I50,'Referenz Pflasterwerk'!$F50)*IF(NOT(ISBLANK('Eingabe EF'!$AA35)),'Eingabe EF'!$AA35,'Eingabe EF'!$Y35)*IF(NOT(ISBLANK('Referenz Pflasterwerk'!$I$12)),'Referenz Pflasterwerk'!$I$12,'Referenz Pflasterwerk'!$F$12)</f>
        <v>0</v>
      </c>
      <c r="G203" s="38">
        <f>E163*IF(NOT(ISBLANK('Referenz Pflasterwerk'!$I50)),'Referenz Pflasterwerk'!$I50,'Referenz Pflasterwerk'!$F50)*IF(NOT(ISBLANK('Eingabe EF'!$AE35)),'Eingabe EF'!$AE35,'Eingabe EF'!$AC35)*IF(NOT(ISBLANK('Referenz Pflasterwerk'!$I$12)),'Referenz Pflasterwerk'!$I$12,'Referenz Pflasterwerk'!$F$12)</f>
        <v>0</v>
      </c>
      <c r="H203" s="38">
        <f>E163*IF(NOT(ISBLANK('Referenz Pflasterwerk'!$I50)),'Referenz Pflasterwerk'!$I50,'Referenz Pflasterwerk'!$F50)*IF(NOT(ISBLANK('Eingabe EF'!$AI35)),'Eingabe EF'!$AI35,'Eingabe EF'!$AG35)*IF(NOT(ISBLANK('Referenz Pflasterwerk'!$I$12)),'Referenz Pflasterwerk'!$I$12,'Referenz Pflasterwerk'!$F$12)</f>
        <v>0</v>
      </c>
      <c r="I203" s="17"/>
      <c r="J203" s="38">
        <f>F203+G203</f>
        <v>0</v>
      </c>
      <c r="K203" s="38">
        <f>SUM(F203:H203)</f>
        <v>0</v>
      </c>
      <c r="L203" s="17" t="s">
        <v>199</v>
      </c>
      <c r="M203" s="43"/>
      <c r="N203" s="43"/>
      <c r="O203" s="43"/>
      <c r="P203" s="43"/>
      <c r="Q203" s="43"/>
      <c r="R203" s="43"/>
      <c r="S203" s="43"/>
    </row>
    <row r="204" spans="2:20" ht="15.75" hidden="1" outlineLevel="1" x14ac:dyDescent="0.3">
      <c r="B204" s="302"/>
      <c r="C204" s="17"/>
      <c r="D204" s="17" t="s">
        <v>62</v>
      </c>
      <c r="E204" s="17"/>
      <c r="F204" s="38">
        <f>E164*IF(NOT(ISBLANK('Referenz Pflasterwerk'!$I51)),'Referenz Pflasterwerk'!$I51,'Referenz Pflasterwerk'!$F51)*IF(NOT(ISBLANK('Eingabe EF'!$AA36)),'Eingabe EF'!$AA36,'Eingabe EF'!$Y36)*IF(NOT(ISBLANK('Referenz Pflasterwerk'!$I$12)),'Referenz Pflasterwerk'!$I$12,'Referenz Pflasterwerk'!$F$12)</f>
        <v>0</v>
      </c>
      <c r="G204" s="38">
        <f>E164*IF(NOT(ISBLANK('Referenz Pflasterwerk'!$I51)),'Referenz Pflasterwerk'!$I51,'Referenz Pflasterwerk'!$F51)*IF(NOT(ISBLANK('Eingabe EF'!$AE36)),'Eingabe EF'!$AE36,'Eingabe EF'!$AC36)*IF(NOT(ISBLANK('Referenz Pflasterwerk'!$I$12)),'Referenz Pflasterwerk'!$I$12,'Referenz Pflasterwerk'!$F$12)</f>
        <v>0</v>
      </c>
      <c r="H204" s="38">
        <f>E164*IF(NOT(ISBLANK('Referenz Pflasterwerk'!$I51)),'Referenz Pflasterwerk'!$I51,'Referenz Pflasterwerk'!$F51)*IF(NOT(ISBLANK('Eingabe EF'!$AI36)),'Eingabe EF'!$AI36,'Eingabe EF'!$AG36)*IF(NOT(ISBLANK('Referenz Pflasterwerk'!$I$12)),'Referenz Pflasterwerk'!$I$12,'Referenz Pflasterwerk'!$F$12)</f>
        <v>69.155999999999992</v>
      </c>
      <c r="I204" s="17"/>
      <c r="J204" s="38">
        <f>F204+G204</f>
        <v>0</v>
      </c>
      <c r="K204" s="38">
        <f>SUM(F204:H204)</f>
        <v>69.155999999999992</v>
      </c>
      <c r="L204" s="17" t="s">
        <v>199</v>
      </c>
      <c r="M204" s="43"/>
      <c r="N204" s="43"/>
      <c r="O204" s="43"/>
      <c r="P204" s="43"/>
      <c r="Q204" s="43"/>
      <c r="R204" s="43"/>
      <c r="S204" s="43"/>
    </row>
    <row r="205" spans="2:20" hidden="1" outlineLevel="1" x14ac:dyDescent="0.2">
      <c r="B205" s="17"/>
      <c r="C205" s="17"/>
      <c r="D205" s="17"/>
      <c r="E205" s="17"/>
      <c r="F205" s="20"/>
      <c r="G205" s="20"/>
      <c r="H205" s="20"/>
      <c r="I205" s="17"/>
      <c r="J205" s="17"/>
      <c r="K205" s="20"/>
      <c r="L205" s="20"/>
      <c r="M205" s="43"/>
      <c r="N205" s="43"/>
      <c r="O205" s="43"/>
      <c r="P205" s="43"/>
      <c r="Q205" s="43"/>
      <c r="R205" s="43"/>
      <c r="S205" s="43"/>
    </row>
    <row r="206" spans="2:20" ht="14.25" hidden="1" outlineLevel="1" x14ac:dyDescent="0.25">
      <c r="B206" s="69"/>
      <c r="C206" s="69" t="s">
        <v>52</v>
      </c>
      <c r="D206" s="70"/>
      <c r="E206" s="70"/>
      <c r="F206" s="71">
        <f>SUM(F207:F210)</f>
        <v>0</v>
      </c>
      <c r="G206" s="71">
        <f>SUM(G207:G210)</f>
        <v>0</v>
      </c>
      <c r="H206" s="71">
        <f>SUM(H207:H210)</f>
        <v>185.55932668689491</v>
      </c>
      <c r="I206" s="70"/>
      <c r="J206" s="71">
        <f t="shared" ref="J206:J210" si="33">F206+G206</f>
        <v>0</v>
      </c>
      <c r="K206" s="71">
        <f t="shared" ref="K206" si="34">SUM(F206:H206)</f>
        <v>185.55932668689491</v>
      </c>
      <c r="L206" s="76" t="s">
        <v>198</v>
      </c>
      <c r="M206" s="43"/>
      <c r="N206" s="43"/>
      <c r="O206" s="43"/>
      <c r="P206" s="43"/>
      <c r="Q206" s="43"/>
      <c r="R206" s="43"/>
      <c r="S206" s="43"/>
    </row>
    <row r="207" spans="2:20" ht="15.75" hidden="1" outlineLevel="1" x14ac:dyDescent="0.3">
      <c r="B207" s="17"/>
      <c r="C207" s="17"/>
      <c r="D207" s="17" t="s">
        <v>53</v>
      </c>
      <c r="E207" s="17"/>
      <c r="F207" s="38">
        <f>IF(NOT(ISBLANK('Referenz Pflasterwerk'!$I$53)),'Referenz Pflasterwerk'!$I$53,'Referenz Pflasterwerk'!$F$53)*IF(NOT(ISBLANK('Referenz Pflasterwerk'!$I54)),'Referenz Pflasterwerk'!$I54,'Referenz Pflasterwerk'!$F54)*IF(NOT(ISBLANK('Eingabe EF'!$AA39)),'Eingabe EF'!$AA39,'Eingabe EF'!$Y39)*IF(NOT(ISBLANK('Referenz Pflasterwerk'!$I$12)),'Referenz Pflasterwerk'!$I$12,'Referenz Pflasterwerk'!$F$12)</f>
        <v>0</v>
      </c>
      <c r="G207" s="38">
        <f>IF(NOT(ISBLANK('Referenz Pflasterwerk'!$I$53)),'Referenz Pflasterwerk'!$I$53,'Referenz Pflasterwerk'!$F$53)*IF(NOT(ISBLANK('Referenz Pflasterwerk'!$I54)),'Referenz Pflasterwerk'!$I54,'Referenz Pflasterwerk'!$F54)*IF(NOT(ISBLANK('Eingabe EF'!$AE39)),'Eingabe EF'!$AE39,'Eingabe EF'!$AC39)*IF(NOT(ISBLANK('Referenz Pflasterwerk'!$I$12)),'Referenz Pflasterwerk'!$I$12,'Referenz Pflasterwerk'!$F$12)</f>
        <v>0</v>
      </c>
      <c r="H207" s="38">
        <f>IF(NOT(ISBLANK('Referenz Pflasterwerk'!$I$53)),'Referenz Pflasterwerk'!$I$53,'Referenz Pflasterwerk'!$F$53)*IF(NOT(ISBLANK('Referenz Pflasterwerk'!$I54)),'Referenz Pflasterwerk'!$I54,'Referenz Pflasterwerk'!$F54)*IF(NOT(ISBLANK('Eingabe EF'!$AI39)),'Eingabe EF'!$AI39,'Eingabe EF'!$AG39)*IF(NOT(ISBLANK('Referenz Pflasterwerk'!$I$12)),'Referenz Pflasterwerk'!$I$12,'Referenz Pflasterwerk'!$F$12)</f>
        <v>59.997399219765924</v>
      </c>
      <c r="I207" s="17"/>
      <c r="J207" s="38">
        <f t="shared" si="33"/>
        <v>0</v>
      </c>
      <c r="K207" s="38">
        <f t="shared" ref="K207:K210" si="35">SUM(F207:H207)</f>
        <v>59.997399219765924</v>
      </c>
      <c r="L207" s="17" t="s">
        <v>199</v>
      </c>
      <c r="M207" s="43"/>
      <c r="N207" s="43"/>
      <c r="O207" s="43"/>
      <c r="P207" s="43"/>
      <c r="Q207" s="43"/>
      <c r="R207" s="43"/>
      <c r="S207" s="43"/>
    </row>
    <row r="208" spans="2:20" ht="15.75" hidden="1" outlineLevel="1" x14ac:dyDescent="0.3">
      <c r="B208" s="17"/>
      <c r="C208" s="17"/>
      <c r="D208" s="17" t="s">
        <v>55</v>
      </c>
      <c r="E208" s="17"/>
      <c r="F208" s="38">
        <f>IF(NOT(ISBLANK('Referenz Pflasterwerk'!$I$53)),'Referenz Pflasterwerk'!$I$53,'Referenz Pflasterwerk'!$F$53)*IF(NOT(ISBLANK('Referenz Pflasterwerk'!$I55)),'Referenz Pflasterwerk'!$I55,'Referenz Pflasterwerk'!$F55)*IF(NOT(ISBLANK('Eingabe EF'!$AA40)),'Eingabe EF'!$AA40,'Eingabe EF'!$Y40)*IF(NOT(ISBLANK('Referenz Pflasterwerk'!$I$12)),'Referenz Pflasterwerk'!$I$12,'Referenz Pflasterwerk'!$F$12)</f>
        <v>0</v>
      </c>
      <c r="G208" s="38">
        <f>IF(NOT(ISBLANK('Referenz Pflasterwerk'!$I$53)),'Referenz Pflasterwerk'!$I$53,'Referenz Pflasterwerk'!$F$53)*IF(NOT(ISBLANK('Referenz Pflasterwerk'!$I55)),'Referenz Pflasterwerk'!$I55,'Referenz Pflasterwerk'!$F55)*IF(NOT(ISBLANK('Eingabe EF'!$AE40)),'Eingabe EF'!$AE40,'Eingabe EF'!$AC40)*IF(NOT(ISBLANK('Referenz Pflasterwerk'!$I$12)),'Referenz Pflasterwerk'!$I$12,'Referenz Pflasterwerk'!$F$12)</f>
        <v>0</v>
      </c>
      <c r="H208" s="38">
        <f>IF(NOT(ISBLANK('Referenz Pflasterwerk'!$I$53)),'Referenz Pflasterwerk'!$I$53,'Referenz Pflasterwerk'!$F$53)*IF(NOT(ISBLANK('Referenz Pflasterwerk'!$I55)),'Referenz Pflasterwerk'!$I55,'Referenz Pflasterwerk'!$F55)*IF(NOT(ISBLANK('Eingabe EF'!$AI40)),'Eingabe EF'!$AI40,'Eingabe EF'!$AG40)*IF(NOT(ISBLANK('Referenz Pflasterwerk'!$I$12)),'Referenz Pflasterwerk'!$I$12,'Referenz Pflasterwerk'!$F$12)</f>
        <v>7.224692963444574</v>
      </c>
      <c r="I208" s="17"/>
      <c r="J208" s="38">
        <f t="shared" si="33"/>
        <v>0</v>
      </c>
      <c r="K208" s="38">
        <f t="shared" si="35"/>
        <v>7.224692963444574</v>
      </c>
      <c r="L208" s="17" t="s">
        <v>199</v>
      </c>
      <c r="M208" s="43"/>
      <c r="N208" s="43"/>
      <c r="O208" s="43"/>
      <c r="P208" s="43"/>
      <c r="Q208" s="43"/>
      <c r="R208" s="43"/>
      <c r="S208" s="43"/>
    </row>
    <row r="209" spans="2:19" ht="15.75" hidden="1" outlineLevel="1" x14ac:dyDescent="0.3">
      <c r="B209" s="17"/>
      <c r="C209" s="17"/>
      <c r="D209" s="17" t="s">
        <v>56</v>
      </c>
      <c r="E209" s="17"/>
      <c r="F209" s="38">
        <f>IF(NOT(ISBLANK('Referenz Pflasterwerk'!$I$53)),'Referenz Pflasterwerk'!$I$53,'Referenz Pflasterwerk'!$F$53)*IF(NOT(ISBLANK('Referenz Pflasterwerk'!$I56)),'Referenz Pflasterwerk'!$I56,'Referenz Pflasterwerk'!$F56)*IF(NOT(ISBLANK('Eingabe EF'!$AA41)),'Eingabe EF'!$AA41,'Eingabe EF'!$Y41)*IF(NOT(ISBLANK('Referenz Pflasterwerk'!$I$12)),'Referenz Pflasterwerk'!$I$12,'Referenz Pflasterwerk'!$F$12)</f>
        <v>0</v>
      </c>
      <c r="G209" s="38">
        <f>IF(NOT(ISBLANK('Referenz Pflasterwerk'!$I$53)),'Referenz Pflasterwerk'!$I$53,'Referenz Pflasterwerk'!$F$53)*IF(NOT(ISBLANK('Referenz Pflasterwerk'!$I56)),'Referenz Pflasterwerk'!$I56,'Referenz Pflasterwerk'!$F56)*IF(NOT(ISBLANK('Eingabe EF'!$AE41)),'Eingabe EF'!$AE41,'Eingabe EF'!$AC41)*IF(NOT(ISBLANK('Referenz Pflasterwerk'!$I$12)),'Referenz Pflasterwerk'!$I$12,'Referenz Pflasterwerk'!$F$12)</f>
        <v>0</v>
      </c>
      <c r="H209" s="38">
        <f>IF(NOT(ISBLANK('Referenz Pflasterwerk'!$I$53)),'Referenz Pflasterwerk'!$I$53,'Referenz Pflasterwerk'!$F$53)*IF(NOT(ISBLANK('Referenz Pflasterwerk'!$I56)),'Referenz Pflasterwerk'!$I56,'Referenz Pflasterwerk'!$F56)*IF(NOT(ISBLANK('Eingabe EF'!$AI41)),'Eingabe EF'!$AI41,'Eingabe EF'!$AG41)*IF(NOT(ISBLANK('Referenz Pflasterwerk'!$I$12)),'Referenz Pflasterwerk'!$I$12,'Referenz Pflasterwerk'!$F$12)</f>
        <v>1.7771998266146515E-2</v>
      </c>
      <c r="I209" s="17"/>
      <c r="J209" s="38">
        <f t="shared" si="33"/>
        <v>0</v>
      </c>
      <c r="K209" s="38">
        <f t="shared" si="35"/>
        <v>1.7771998266146515E-2</v>
      </c>
      <c r="L209" s="17" t="s">
        <v>199</v>
      </c>
      <c r="M209" s="43"/>
      <c r="N209" s="43"/>
      <c r="O209" s="43"/>
      <c r="P209" s="43"/>
      <c r="Q209" s="43"/>
      <c r="R209" s="43"/>
      <c r="S209" s="43"/>
    </row>
    <row r="210" spans="2:19" ht="15.75" hidden="1" outlineLevel="1" x14ac:dyDescent="0.3">
      <c r="B210" s="17"/>
      <c r="C210" s="17"/>
      <c r="D210" s="17" t="s">
        <v>57</v>
      </c>
      <c r="E210" s="17"/>
      <c r="F210" s="38">
        <f>IF(NOT(ISBLANK('Referenz Pflasterwerk'!$I$53)),'Referenz Pflasterwerk'!$I$53,'Referenz Pflasterwerk'!$F$53)*IF(NOT(ISBLANK('Referenz Pflasterwerk'!$I57)),'Referenz Pflasterwerk'!$I57,'Referenz Pflasterwerk'!$F57)*IF(NOT(ISBLANK('Eingabe EF'!$AA42)),'Eingabe EF'!$AA42,'Eingabe EF'!$Y42)*IF(NOT(ISBLANK('Referenz Pflasterwerk'!$I$12)),'Referenz Pflasterwerk'!$I$12,'Referenz Pflasterwerk'!$F$12)</f>
        <v>0</v>
      </c>
      <c r="G210" s="38">
        <f>IF(NOT(ISBLANK('Referenz Pflasterwerk'!$I$53)),'Referenz Pflasterwerk'!$I$53,'Referenz Pflasterwerk'!$F$53)*IF(NOT(ISBLANK('Referenz Pflasterwerk'!$I57)),'Referenz Pflasterwerk'!$I57,'Referenz Pflasterwerk'!$F57)*IF(NOT(ISBLANK('Eingabe EF'!$AE42)),'Eingabe EF'!$AE42,'Eingabe EF'!$AC42)*IF(NOT(ISBLANK('Referenz Pflasterwerk'!$I$12)),'Referenz Pflasterwerk'!$I$12,'Referenz Pflasterwerk'!$F$12)</f>
        <v>0</v>
      </c>
      <c r="H210" s="38">
        <f>IF(NOT(ISBLANK('Referenz Pflasterwerk'!$I$53)),'Referenz Pflasterwerk'!$I$53,'Referenz Pflasterwerk'!$F$53)*IF(NOT(ISBLANK('Referenz Pflasterwerk'!$I57)),'Referenz Pflasterwerk'!$I57,'Referenz Pflasterwerk'!$F57)*IF(NOT(ISBLANK('Eingabe EF'!$AI42)),'Eingabe EF'!$AI42,'Eingabe EF'!$AG42)*IF(NOT(ISBLANK('Referenz Pflasterwerk'!$I$12)),'Referenz Pflasterwerk'!$I$12,'Referenz Pflasterwerk'!$F$12)</f>
        <v>118.31946250541829</v>
      </c>
      <c r="I210" s="17"/>
      <c r="J210" s="38">
        <f t="shared" si="33"/>
        <v>0</v>
      </c>
      <c r="K210" s="38">
        <f t="shared" si="35"/>
        <v>118.31946250541829</v>
      </c>
      <c r="L210" s="17" t="s">
        <v>199</v>
      </c>
      <c r="M210" s="43"/>
      <c r="N210" s="43"/>
      <c r="O210" s="43"/>
      <c r="P210" s="43"/>
      <c r="Q210" s="43"/>
      <c r="R210" s="43"/>
      <c r="S210" s="43"/>
    </row>
    <row r="211" spans="2:19" hidden="1" outlineLevel="1" x14ac:dyDescent="0.2">
      <c r="B211" s="17"/>
      <c r="C211" s="17"/>
      <c r="D211" s="17"/>
      <c r="E211" s="17"/>
      <c r="F211" s="20"/>
      <c r="G211" s="20"/>
      <c r="H211" s="20"/>
      <c r="I211" s="17"/>
      <c r="J211" s="20"/>
      <c r="K211" s="20"/>
      <c r="L211" s="17"/>
      <c r="M211" s="43"/>
      <c r="N211" s="43"/>
      <c r="O211" s="43"/>
      <c r="P211" s="43"/>
      <c r="Q211" s="43"/>
      <c r="R211" s="43"/>
      <c r="S211" s="43"/>
    </row>
    <row r="212" spans="2:19" ht="14.25" hidden="1" outlineLevel="1" x14ac:dyDescent="0.25">
      <c r="B212" s="69"/>
      <c r="C212" s="69" t="s">
        <v>272</v>
      </c>
      <c r="D212" s="70"/>
      <c r="E212" s="70"/>
      <c r="F212" s="71">
        <f>SUM(F213:F214)</f>
        <v>0</v>
      </c>
      <c r="G212" s="71">
        <f t="shared" ref="G212" si="36">SUM(G213:G214)</f>
        <v>0</v>
      </c>
      <c r="H212" s="71">
        <f>SUM(H213:H214)</f>
        <v>0</v>
      </c>
      <c r="I212" s="70"/>
      <c r="J212" s="71">
        <f>F212+G212</f>
        <v>0</v>
      </c>
      <c r="K212" s="71">
        <f t="shared" ref="K212" si="37">SUM(F212:H212)</f>
        <v>0</v>
      </c>
      <c r="L212" s="76" t="s">
        <v>198</v>
      </c>
      <c r="M212" s="43"/>
      <c r="N212" s="43"/>
      <c r="O212" s="43"/>
      <c r="P212" s="43"/>
      <c r="Q212" s="43"/>
      <c r="R212" s="43"/>
      <c r="S212" s="43"/>
    </row>
    <row r="213" spans="2:19" ht="15.75" hidden="1" outlineLevel="1" x14ac:dyDescent="0.3">
      <c r="B213" s="302"/>
      <c r="C213" s="17"/>
      <c r="D213" s="17" t="s">
        <v>268</v>
      </c>
      <c r="E213" s="17"/>
      <c r="F213" s="38">
        <v>0</v>
      </c>
      <c r="G213" s="38">
        <v>0</v>
      </c>
      <c r="H213" s="38">
        <f>IF(NOT(ISBLANK(G26)),G26,E26)*IF(NOT(ISBLANK(G29)),G29,0)</f>
        <v>0</v>
      </c>
      <c r="I213" s="17"/>
      <c r="J213" s="38">
        <f t="shared" ref="J213:J214" si="38">F213+G213</f>
        <v>0</v>
      </c>
      <c r="K213" s="38">
        <f t="shared" ref="K213:K214" si="39">SUM(F213:H213)</f>
        <v>0</v>
      </c>
      <c r="L213" s="17" t="s">
        <v>199</v>
      </c>
      <c r="M213" s="43"/>
      <c r="N213" s="43"/>
      <c r="O213" s="43"/>
      <c r="P213" s="43"/>
      <c r="Q213" s="43"/>
      <c r="R213" s="43"/>
      <c r="S213" s="43"/>
    </row>
    <row r="214" spans="2:19" ht="15.75" hidden="1" outlineLevel="1" x14ac:dyDescent="0.3">
      <c r="B214" s="302"/>
      <c r="C214" s="17"/>
      <c r="D214" s="17" t="s">
        <v>269</v>
      </c>
      <c r="E214" s="17"/>
      <c r="F214" s="38">
        <v>0</v>
      </c>
      <c r="G214" s="38">
        <v>0</v>
      </c>
      <c r="H214" s="38">
        <f>IF(NOT(ISBLANK(G27)),G27,E27)*IF(NOT(ISBLANK(G30)),G30,0)</f>
        <v>0</v>
      </c>
      <c r="I214" s="17"/>
      <c r="J214" s="38">
        <f t="shared" si="38"/>
        <v>0</v>
      </c>
      <c r="K214" s="38">
        <f t="shared" si="39"/>
        <v>0</v>
      </c>
      <c r="L214" s="17" t="s">
        <v>199</v>
      </c>
      <c r="M214" s="43"/>
      <c r="N214" s="43"/>
      <c r="O214" s="43"/>
      <c r="P214" s="43"/>
      <c r="Q214" s="43"/>
      <c r="R214" s="43"/>
      <c r="S214" s="43"/>
    </row>
    <row r="215" spans="2:19" hidden="1" outlineLevel="1" x14ac:dyDescent="0.2">
      <c r="B215" s="17"/>
      <c r="C215" s="17"/>
      <c r="D215" s="17"/>
      <c r="E215" s="17"/>
      <c r="F215" s="20"/>
      <c r="G215" s="20"/>
      <c r="H215" s="20"/>
      <c r="I215" s="17"/>
      <c r="J215" s="20"/>
      <c r="K215" s="20"/>
      <c r="L215" s="17"/>
      <c r="M215" s="43"/>
      <c r="N215" s="43"/>
      <c r="O215" s="43"/>
      <c r="P215" s="43"/>
      <c r="Q215" s="43"/>
      <c r="R215" s="43"/>
      <c r="S215" s="43"/>
    </row>
    <row r="216" spans="2:19" ht="14.25" hidden="1" outlineLevel="1" x14ac:dyDescent="0.25">
      <c r="B216" s="17"/>
      <c r="C216" s="17"/>
      <c r="D216" s="21" t="s">
        <v>113</v>
      </c>
      <c r="E216" s="21"/>
      <c r="F216" s="74">
        <f>IF(NOT(ISBLANK('Referenz Pflasterwerk'!$I59)),'Referenz Pflasterwerk'!$I59,'Referenz Pflasterwerk'!$F59)*IF(NOT(ISBLANK('Eingabe EF'!$AA44)),'Eingabe EF'!$AA44,0)*IF(NOT(ISBLANK('Referenz Pflasterwerk'!$I$12)),'Referenz Pflasterwerk'!$I$12,'Referenz Pflasterwerk'!$F$12)</f>
        <v>0</v>
      </c>
      <c r="G216" s="74">
        <f>IF(NOT(ISBLANK('Referenz Pflasterwerk'!$I59)),'Referenz Pflasterwerk'!$I59,'Referenz Pflasterwerk'!$F59)*IF(NOT(ISBLANK('Eingabe EF'!$AE44)),'Eingabe EF'!$AE44,0)*IF(NOT(ISBLANK('Referenz Pflasterwerk'!$I$12)),'Referenz Pflasterwerk'!$I$12,'Referenz Pflasterwerk'!$F$12)</f>
        <v>0</v>
      </c>
      <c r="H216" s="74">
        <f>IF(NOT(ISBLANK('Referenz Pflasterwerk'!$I59)),'Referenz Pflasterwerk'!$I59,'Referenz Pflasterwerk'!$F59)*IF(NOT(ISBLANK('Eingabe EF'!$AI44)),'Eingabe EF'!$AI44,0)*IF(NOT(ISBLANK('Referenz Pflasterwerk'!$I$12)),'Referenz Pflasterwerk'!$I$12,'Referenz Pflasterwerk'!$F$12)</f>
        <v>0</v>
      </c>
      <c r="I216" s="21"/>
      <c r="J216" s="74">
        <f>F216+G216</f>
        <v>0</v>
      </c>
      <c r="K216" s="74">
        <f>SUM(F216:H216)</f>
        <v>0</v>
      </c>
      <c r="L216" s="21" t="s">
        <v>198</v>
      </c>
      <c r="M216" s="43"/>
      <c r="N216" s="43"/>
      <c r="O216" s="43"/>
      <c r="P216" s="43"/>
      <c r="Q216" s="43"/>
      <c r="R216" s="43"/>
      <c r="S216" s="43"/>
    </row>
    <row r="217" spans="2:19" ht="14.25" hidden="1" outlineLevel="1" x14ac:dyDescent="0.25">
      <c r="B217" s="17"/>
      <c r="C217" s="17"/>
      <c r="D217" s="21" t="s">
        <v>65</v>
      </c>
      <c r="E217" s="21"/>
      <c r="F217" s="74">
        <f>IF(NOT(ISBLANK('Referenz Pflasterwerk'!$I60)),'Referenz Pflasterwerk'!$I60,'Referenz Pflasterwerk'!$F60)*IF(NOT(ISBLANK('Eingabe EF'!$AA45)),'Eingabe EF'!$AA45,'Eingabe EF'!$Y45)</f>
        <v>0</v>
      </c>
      <c r="G217" s="74">
        <f>IF(NOT(ISBLANK('Referenz Pflasterwerk'!$I60)),'Referenz Pflasterwerk'!$I60,'Referenz Pflasterwerk'!$F60)*IF(NOT(ISBLANK('Eingabe EF'!$AE45)),'Eingabe EF'!$AE45,'Eingabe EF'!$AC45)</f>
        <v>0</v>
      </c>
      <c r="H217" s="74">
        <f>IF(NOT(ISBLANK('Referenz Pflasterwerk'!$I60)),'Referenz Pflasterwerk'!$I60,'Referenz Pflasterwerk'!$F60)*IF(NOT(ISBLANK('Eingabe EF'!$AI45)),'Eingabe EF'!$AI45,'Eingabe EF'!$AG45)</f>
        <v>5.4399999999999997E-2</v>
      </c>
      <c r="I217" s="21"/>
      <c r="J217" s="74">
        <f>F217+G217</f>
        <v>0</v>
      </c>
      <c r="K217" s="74">
        <f>SUM(F217:H217)</f>
        <v>5.4399999999999997E-2</v>
      </c>
      <c r="L217" s="21" t="s">
        <v>198</v>
      </c>
      <c r="M217" s="43"/>
      <c r="N217" s="43"/>
      <c r="O217" s="43"/>
      <c r="P217" s="43"/>
      <c r="Q217" s="43"/>
      <c r="R217" s="43"/>
      <c r="S217" s="43"/>
    </row>
    <row r="218" spans="2:19" hidden="1" outlineLevel="1" x14ac:dyDescent="0.2">
      <c r="B218" s="17"/>
      <c r="C218" s="17"/>
      <c r="D218" s="17"/>
      <c r="E218" s="17"/>
      <c r="F218" s="20"/>
      <c r="G218" s="20"/>
      <c r="H218" s="20"/>
      <c r="I218" s="17"/>
      <c r="J218" s="20"/>
      <c r="K218" s="20"/>
      <c r="L218" s="17"/>
      <c r="M218" s="43"/>
      <c r="N218" s="43"/>
      <c r="O218" s="43"/>
      <c r="P218" s="43"/>
      <c r="Q218" s="43"/>
      <c r="R218" s="43"/>
      <c r="S218" s="43"/>
    </row>
    <row r="219" spans="2:19" ht="14.25" hidden="1" outlineLevel="1" x14ac:dyDescent="0.25">
      <c r="B219" s="69"/>
      <c r="C219" s="69" t="s">
        <v>183</v>
      </c>
      <c r="D219" s="70"/>
      <c r="E219" s="70"/>
      <c r="F219" s="71">
        <f>SUM(F220:F222)</f>
        <v>0</v>
      </c>
      <c r="G219" s="71">
        <f>SUM(G220:G222)</f>
        <v>0</v>
      </c>
      <c r="H219" s="71">
        <f>SUM(H220:H222)</f>
        <v>0</v>
      </c>
      <c r="I219" s="70"/>
      <c r="J219" s="71">
        <f t="shared" ref="J219:J222" si="40">F219+G219</f>
        <v>0</v>
      </c>
      <c r="K219" s="71">
        <f t="shared" ref="K219" si="41">SUM(F219:H219)</f>
        <v>0</v>
      </c>
      <c r="L219" s="76" t="s">
        <v>198</v>
      </c>
      <c r="M219" s="43"/>
      <c r="N219" s="43"/>
      <c r="O219" s="43"/>
      <c r="P219" s="43"/>
      <c r="Q219" s="43"/>
      <c r="R219" s="43"/>
      <c r="S219" s="43"/>
    </row>
    <row r="220" spans="2:19" ht="15.75" hidden="1" outlineLevel="1" x14ac:dyDescent="0.3">
      <c r="B220" s="17"/>
      <c r="C220" s="17"/>
      <c r="D220" s="17" t="s">
        <v>184</v>
      </c>
      <c r="E220" s="17"/>
      <c r="F220" s="38">
        <f>IF(NOT(ISBLANK('Referenz Pflasterwerk'!$I63)),'Referenz Pflasterwerk'!$I63,'Referenz Pflasterwerk'!$F63)*IF(NOT(ISBLANK('Eingabe EF'!$AA48)),'Eingabe EF'!$AA48,0)*IF(NOT(ISBLANK('Referenz Pflasterwerk'!$I$12)),'Referenz Pflasterwerk'!$I$12,'Referenz Pflasterwerk'!$F$12)</f>
        <v>0</v>
      </c>
      <c r="G220" s="38">
        <f>IF(NOT(ISBLANK('Referenz Pflasterwerk'!$I63)),'Referenz Pflasterwerk'!$I63,'Referenz Pflasterwerk'!$F63)*IF(NOT(ISBLANK('Eingabe EF'!$AE48)),'Eingabe EF'!$AE48,0)*IF(NOT(ISBLANK('Referenz Pflasterwerk'!$I$12)),'Referenz Pflasterwerk'!$I$12,'Referenz Pflasterwerk'!$F$12)</f>
        <v>0</v>
      </c>
      <c r="H220" s="38">
        <f>IF(NOT(ISBLANK('Referenz Pflasterwerk'!$I63)),'Referenz Pflasterwerk'!$I63,'Referenz Pflasterwerk'!$F63)*IF(NOT(ISBLANK('Eingabe EF'!$AI48)),'Eingabe EF'!$AI48,0)*IF(NOT(ISBLANK('Referenz Pflasterwerk'!$I$12)),'Referenz Pflasterwerk'!$I$12,'Referenz Pflasterwerk'!$F$12)</f>
        <v>0</v>
      </c>
      <c r="I220" s="17"/>
      <c r="J220" s="38">
        <f t="shared" si="40"/>
        <v>0</v>
      </c>
      <c r="K220" s="38">
        <f t="shared" ref="K220:K222" si="42">SUM(F220:H220)</f>
        <v>0</v>
      </c>
      <c r="L220" s="17" t="s">
        <v>199</v>
      </c>
      <c r="M220" s="43"/>
      <c r="N220" s="43"/>
      <c r="O220" s="43"/>
      <c r="P220" s="43"/>
      <c r="Q220" s="43"/>
      <c r="R220" s="43"/>
      <c r="S220" s="43"/>
    </row>
    <row r="221" spans="2:19" ht="15.75" hidden="1" outlineLevel="1" x14ac:dyDescent="0.3">
      <c r="B221" s="17"/>
      <c r="C221" s="17"/>
      <c r="D221" s="17" t="s">
        <v>63</v>
      </c>
      <c r="E221" s="17"/>
      <c r="F221" s="38">
        <f>IF(NOT(ISBLANK('Referenz Pflasterwerk'!$I64)),'Referenz Pflasterwerk'!$I64,'Referenz Pflasterwerk'!$F64)*IF(NOT(ISBLANK('Eingabe EF'!$AA49)),'Eingabe EF'!$AA49,'Eingabe EF'!$Y49)*IF(NOT(ISBLANK('Referenz Pflasterwerk'!$I$12)),'Referenz Pflasterwerk'!$I$12,'Referenz Pflasterwerk'!$F$12)</f>
        <v>0</v>
      </c>
      <c r="G221" s="38">
        <f>IF(NOT(ISBLANK('Referenz Pflasterwerk'!$I64)),'Referenz Pflasterwerk'!$I64,'Referenz Pflasterwerk'!$F64)*IF(NOT(ISBLANK('Eingabe EF'!$AE49)),'Eingabe EF'!$AE49,'Eingabe EF'!$AC49)*IF(NOT(ISBLANK('Referenz Pflasterwerk'!$I$12)),'Referenz Pflasterwerk'!$I$12,'Referenz Pflasterwerk'!$F$12)</f>
        <v>0</v>
      </c>
      <c r="H221" s="38">
        <f>IF(NOT(ISBLANK('Referenz Pflasterwerk'!$I64)),'Referenz Pflasterwerk'!$I64,'Referenz Pflasterwerk'!$F64)*IF(NOT(ISBLANK('Eingabe EF'!$AI49)),'Eingabe EF'!$AI49,'Eingabe EF'!$AG49)*IF(NOT(ISBLANK('Referenz Pflasterwerk'!$I$12)),'Referenz Pflasterwerk'!$I$12,'Referenz Pflasterwerk'!$F$12)</f>
        <v>0</v>
      </c>
      <c r="I221" s="17"/>
      <c r="J221" s="38">
        <f t="shared" si="40"/>
        <v>0</v>
      </c>
      <c r="K221" s="38">
        <f t="shared" si="42"/>
        <v>0</v>
      </c>
      <c r="L221" s="17" t="s">
        <v>199</v>
      </c>
      <c r="M221" s="43"/>
      <c r="N221" s="43"/>
      <c r="O221" s="43"/>
      <c r="P221" s="43"/>
      <c r="Q221" s="43"/>
      <c r="R221" s="43"/>
      <c r="S221" s="43"/>
    </row>
    <row r="222" spans="2:19" ht="15.75" hidden="1" outlineLevel="1" x14ac:dyDescent="0.3">
      <c r="B222" s="17"/>
      <c r="C222" s="17"/>
      <c r="D222" s="17" t="s">
        <v>185</v>
      </c>
      <c r="E222" s="17"/>
      <c r="F222" s="38">
        <f>IF(NOT(ISBLANK('Referenz Pflasterwerk'!$I65)),'Referenz Pflasterwerk'!$I65,'Referenz Pflasterwerk'!$F65)*IF(NOT(ISBLANK('Eingabe EF'!$AA50)),'Eingabe EF'!$AA50,0)*IF(NOT(ISBLANK('Referenz Pflasterwerk'!$I$12)),'Referenz Pflasterwerk'!$I$12,'Referenz Pflasterwerk'!$F$12)</f>
        <v>0</v>
      </c>
      <c r="G222" s="38">
        <f>IF(NOT(ISBLANK('Referenz Pflasterwerk'!$I65)),'Referenz Pflasterwerk'!$I65,'Referenz Pflasterwerk'!$F65)*IF(NOT(ISBLANK('Eingabe EF'!$AE50)),'Eingabe EF'!$AE50,0)*IF(NOT(ISBLANK('Referenz Pflasterwerk'!$I$12)),'Referenz Pflasterwerk'!$I$12,'Referenz Pflasterwerk'!$F$12)</f>
        <v>0</v>
      </c>
      <c r="H222" s="38">
        <f>IF(NOT(ISBLANK('Referenz Pflasterwerk'!$I65)),'Referenz Pflasterwerk'!$I65,'Referenz Pflasterwerk'!$F65)*IF(NOT(ISBLANK('Eingabe EF'!$AI50)),'Eingabe EF'!$AI50,0)*IF(NOT(ISBLANK('Referenz Pflasterwerk'!$I$12)),'Referenz Pflasterwerk'!$I$12,'Referenz Pflasterwerk'!$F$12)</f>
        <v>0</v>
      </c>
      <c r="I222" s="17"/>
      <c r="J222" s="38">
        <f t="shared" si="40"/>
        <v>0</v>
      </c>
      <c r="K222" s="38">
        <f t="shared" si="42"/>
        <v>0</v>
      </c>
      <c r="L222" s="17" t="s">
        <v>199</v>
      </c>
      <c r="M222" s="43"/>
      <c r="N222" s="43"/>
      <c r="O222" s="43"/>
      <c r="P222" s="43"/>
      <c r="Q222" s="43"/>
      <c r="R222" s="43"/>
      <c r="S222" s="43"/>
    </row>
    <row r="223" spans="2:19" hidden="1" outlineLevel="1" x14ac:dyDescent="0.2">
      <c r="B223" s="17"/>
      <c r="C223" s="17"/>
      <c r="D223" s="17"/>
      <c r="E223" s="17"/>
      <c r="F223" s="20"/>
      <c r="G223" s="20"/>
      <c r="H223" s="20"/>
      <c r="I223" s="17"/>
      <c r="J223" s="17"/>
      <c r="K223" s="17"/>
      <c r="L223" s="20"/>
      <c r="M223" s="43"/>
      <c r="N223" s="43"/>
      <c r="O223" s="43"/>
      <c r="P223" s="43"/>
      <c r="Q223" s="43"/>
      <c r="R223" s="43"/>
      <c r="S223" s="43"/>
    </row>
    <row r="224" spans="2:19" ht="14.25" hidden="1" outlineLevel="1" x14ac:dyDescent="0.25">
      <c r="B224" s="69"/>
      <c r="C224" s="69" t="s">
        <v>186</v>
      </c>
      <c r="D224" s="70"/>
      <c r="E224" s="70"/>
      <c r="F224" s="71">
        <f>SUM(F225:F227)</f>
        <v>0</v>
      </c>
      <c r="G224" s="71">
        <f>SUM(G225:G227)</f>
        <v>0</v>
      </c>
      <c r="H224" s="71">
        <f>SUM(H225:H227)</f>
        <v>0</v>
      </c>
      <c r="I224" s="70"/>
      <c r="J224" s="71">
        <f>F224+G224</f>
        <v>0</v>
      </c>
      <c r="K224" s="71">
        <f t="shared" ref="K224" si="43">SUM(F224:H224)</f>
        <v>0</v>
      </c>
      <c r="L224" s="76" t="s">
        <v>198</v>
      </c>
      <c r="M224" s="43"/>
      <c r="N224" s="43"/>
      <c r="O224" s="43"/>
      <c r="P224" s="43"/>
      <c r="Q224" s="43"/>
      <c r="R224" s="43"/>
      <c r="S224" s="43"/>
    </row>
    <row r="225" spans="2:20" ht="15.75" hidden="1" outlineLevel="1" x14ac:dyDescent="0.3">
      <c r="B225" s="17"/>
      <c r="C225" s="17"/>
      <c r="D225" s="17" t="s">
        <v>67</v>
      </c>
      <c r="E225" s="17"/>
      <c r="F225" s="38">
        <f>IF(NOT(ISBLANK('Referenz Pflasterwerk'!$I68)),'Referenz Pflasterwerk'!$I68,'Referenz Pflasterwerk'!$F68)*IF(NOT(ISBLANK('Eingabe EF'!$AA53)),'Eingabe EF'!$AA53,'Eingabe EF'!$Y53)</f>
        <v>0</v>
      </c>
      <c r="G225" s="38">
        <f>IF(NOT(ISBLANK('Referenz Pflasterwerk'!$I68)),'Referenz Pflasterwerk'!$I68,'Referenz Pflasterwerk'!$F68)*IF(NOT(ISBLANK('Eingabe EF'!$AE53)),'Eingabe EF'!$AE53,'Eingabe EF'!$AC53)</f>
        <v>0</v>
      </c>
      <c r="H225" s="38">
        <f>IF(NOT(ISBLANK('Referenz Pflasterwerk'!$I68)),'Referenz Pflasterwerk'!$I68,'Referenz Pflasterwerk'!$F68)*IF(NOT(ISBLANK('Eingabe EF'!$AI53)),'Eingabe EF'!$AI53,'Eingabe EF'!$AG53)</f>
        <v>0</v>
      </c>
      <c r="I225" s="17"/>
      <c r="J225" s="38">
        <f>F225+G225</f>
        <v>0</v>
      </c>
      <c r="K225" s="38">
        <f>SUM(F225:H225)</f>
        <v>0</v>
      </c>
      <c r="L225" s="17" t="s">
        <v>199</v>
      </c>
      <c r="M225" s="43"/>
      <c r="N225" s="43"/>
      <c r="O225" s="43"/>
      <c r="P225" s="43"/>
      <c r="Q225" s="43"/>
      <c r="R225" s="43"/>
      <c r="S225" s="43"/>
    </row>
    <row r="226" spans="2:20" ht="15.75" hidden="1" outlineLevel="1" x14ac:dyDescent="0.3">
      <c r="B226" s="17"/>
      <c r="C226" s="17"/>
      <c r="D226" s="17" t="s">
        <v>188</v>
      </c>
      <c r="E226" s="17"/>
      <c r="F226" s="38">
        <f>IF(NOT(ISBLANK('Referenz Pflasterwerk'!$I69)),'Referenz Pflasterwerk'!$I69,'Referenz Pflasterwerk'!$F69)*IF(NOT(ISBLANK('Eingabe EF'!$AA54)),'Eingabe EF'!$AA54,0)</f>
        <v>0</v>
      </c>
      <c r="G226" s="38">
        <f>IF(NOT(ISBLANK('Referenz Pflasterwerk'!$I69)),'Referenz Pflasterwerk'!$I69,'Referenz Pflasterwerk'!$F69)*IF(NOT(ISBLANK('Eingabe EF'!$AE54)),'Eingabe EF'!$AE54,0)</f>
        <v>0</v>
      </c>
      <c r="H226" s="38">
        <f>IF(NOT(ISBLANK('Referenz Pflasterwerk'!$I69)),'Referenz Pflasterwerk'!$I69,'Referenz Pflasterwerk'!$F69)*IF(NOT(ISBLANK('Eingabe EF'!$AI54)),'Eingabe EF'!$AI54,0)</f>
        <v>0</v>
      </c>
      <c r="I226" s="17"/>
      <c r="J226" s="38">
        <f t="shared" ref="J226:J227" si="44">F226+G226</f>
        <v>0</v>
      </c>
      <c r="K226" s="38">
        <f t="shared" ref="K226:K227" si="45">SUM(F226:H226)</f>
        <v>0</v>
      </c>
      <c r="L226" s="17" t="s">
        <v>199</v>
      </c>
      <c r="M226" s="43"/>
      <c r="N226" s="43"/>
      <c r="O226" s="43"/>
      <c r="P226" s="43"/>
      <c r="Q226" s="43"/>
      <c r="R226" s="43"/>
      <c r="S226" s="43"/>
    </row>
    <row r="227" spans="2:20" ht="15.75" hidden="1" outlineLevel="1" x14ac:dyDescent="0.3">
      <c r="B227" s="17"/>
      <c r="C227" s="17"/>
      <c r="D227" s="17" t="s">
        <v>187</v>
      </c>
      <c r="E227" s="17"/>
      <c r="F227" s="38">
        <f>IF(NOT(ISBLANK('Referenz Pflasterwerk'!$I70)),'Referenz Pflasterwerk'!$I70,'Referenz Pflasterwerk'!$F70)*IF(NOT(ISBLANK('Eingabe EF'!$AA55)),'Eingabe EF'!$AA55,0)</f>
        <v>0</v>
      </c>
      <c r="G227" s="38">
        <f>IF(NOT(ISBLANK('Referenz Pflasterwerk'!$I70)),'Referenz Pflasterwerk'!$I70,'Referenz Pflasterwerk'!$F70)*IF(NOT(ISBLANK('Eingabe EF'!$AE55)),'Eingabe EF'!$AE55,0)</f>
        <v>0</v>
      </c>
      <c r="H227" s="38">
        <f>IF(NOT(ISBLANK('Referenz Pflasterwerk'!$I70)),'Referenz Pflasterwerk'!$I70,'Referenz Pflasterwerk'!$F70)*IF(NOT(ISBLANK('Eingabe EF'!$AI55)),'Eingabe EF'!$AI55,0)</f>
        <v>0</v>
      </c>
      <c r="I227" s="17"/>
      <c r="J227" s="38">
        <f t="shared" si="44"/>
        <v>0</v>
      </c>
      <c r="K227" s="38">
        <f t="shared" si="45"/>
        <v>0</v>
      </c>
      <c r="L227" s="17" t="s">
        <v>199</v>
      </c>
      <c r="M227" s="43"/>
      <c r="N227" s="43"/>
      <c r="O227" s="43"/>
      <c r="P227" s="43"/>
      <c r="Q227" s="43"/>
      <c r="R227" s="43"/>
      <c r="S227" s="43"/>
    </row>
    <row r="228" spans="2:20" hidden="1" outlineLevel="1" x14ac:dyDescent="0.2">
      <c r="B228" s="17"/>
      <c r="C228" s="17"/>
      <c r="D228" s="17"/>
      <c r="E228" s="17"/>
      <c r="F228" s="20"/>
      <c r="G228" s="20"/>
      <c r="H228" s="20"/>
      <c r="I228" s="17"/>
      <c r="J228" s="17"/>
      <c r="K228" s="17"/>
      <c r="L228" s="20"/>
      <c r="M228" s="43"/>
      <c r="N228" s="43"/>
      <c r="O228" s="43"/>
      <c r="P228" s="43"/>
      <c r="Q228" s="43"/>
      <c r="R228" s="43"/>
      <c r="S228" s="43"/>
    </row>
    <row r="229" spans="2:20" ht="14.25" hidden="1" outlineLevel="1" x14ac:dyDescent="0.25">
      <c r="B229" s="17"/>
      <c r="C229" s="17"/>
      <c r="D229" s="21" t="s">
        <v>64</v>
      </c>
      <c r="E229" s="21"/>
      <c r="F229" s="74">
        <f>IF(NOT(ISBLANK('Referenz Pflasterwerk'!$I72)),'Referenz Pflasterwerk'!$I72,'Referenz Pflasterwerk'!$F72)*IF(NOT(ISBLANK('Eingabe EF'!$AA57)),'Eingabe EF'!$AA57,'Eingabe EF'!$Y57)</f>
        <v>0</v>
      </c>
      <c r="G229" s="74">
        <f>IF(NOT(ISBLANK('Referenz Pflasterwerk'!$I72)),'Referenz Pflasterwerk'!$I72,'Referenz Pflasterwerk'!$F72)*IF(NOT(ISBLANK('Eingabe EF'!$AE57)),'Eingabe EF'!$AE57,'Eingabe EF'!$AC57)</f>
        <v>0</v>
      </c>
      <c r="H229" s="74">
        <f>IF(NOT(ISBLANK('Referenz Pflasterwerk'!$I72)),'Referenz Pflasterwerk'!$I72,'Referenz Pflasterwerk'!$F72)*IF(NOT(ISBLANK('Eingabe EF'!$AI57)),'Eingabe EF'!$AI57,'Eingabe EF'!$AG57)</f>
        <v>161.20000000000002</v>
      </c>
      <c r="I229" s="21"/>
      <c r="J229" s="74">
        <f t="shared" ref="J229" si="46">F229+G229</f>
        <v>0</v>
      </c>
      <c r="K229" s="74">
        <f t="shared" ref="K229" si="47">SUM(F229:H229)</f>
        <v>161.20000000000002</v>
      </c>
      <c r="L229" s="21" t="s">
        <v>198</v>
      </c>
      <c r="M229" s="43"/>
      <c r="N229" s="43"/>
      <c r="O229" s="43"/>
      <c r="P229" s="43"/>
      <c r="Q229" s="43"/>
      <c r="R229" s="43"/>
      <c r="S229" s="43"/>
    </row>
    <row r="230" spans="2:20" hidden="1" outlineLevel="1" x14ac:dyDescent="0.2">
      <c r="B230" s="17"/>
      <c r="C230" s="17"/>
      <c r="D230" s="17"/>
      <c r="E230" s="17"/>
      <c r="F230" s="20"/>
      <c r="G230" s="20"/>
      <c r="H230" s="20"/>
      <c r="I230" s="17"/>
      <c r="J230" s="17"/>
      <c r="K230" s="17"/>
      <c r="L230" s="20"/>
      <c r="M230" s="43"/>
      <c r="N230" s="43"/>
      <c r="O230" s="43"/>
      <c r="P230" s="43"/>
      <c r="Q230" s="43"/>
      <c r="R230" s="43"/>
      <c r="S230" s="43"/>
    </row>
    <row r="231" spans="2:20" ht="15" hidden="1" outlineLevel="1" thickBot="1" x14ac:dyDescent="0.3">
      <c r="B231" s="17"/>
      <c r="C231" s="17"/>
      <c r="D231" s="67" t="s">
        <v>70</v>
      </c>
      <c r="E231" s="67"/>
      <c r="F231" s="68">
        <f>SUM(F170:F229)-F184-F188-F194-F201-F206-F219-F224-F212</f>
        <v>106.60088015999999</v>
      </c>
      <c r="G231" s="68">
        <f t="shared" ref="G231:H231" si="48">SUM(G170:G229)-G184-G188-G194-G201-G206-G219-G224-G212</f>
        <v>208.15407848118898</v>
      </c>
      <c r="H231" s="68">
        <f t="shared" si="48"/>
        <v>10356.828894465081</v>
      </c>
      <c r="I231" s="21"/>
      <c r="J231" s="68">
        <f>SUM(J170:J229)-J184-J188-J194-J201-J206-J219-J224-J212</f>
        <v>314.75495864118898</v>
      </c>
      <c r="K231" s="68">
        <f>SUM(K170:K229)-K184-K188-K194-K201-K206-K219-K224-K212</f>
        <v>10671.583853106273</v>
      </c>
      <c r="L231" s="68" t="s">
        <v>198</v>
      </c>
      <c r="M231" s="43"/>
      <c r="N231" s="43"/>
      <c r="O231" s="43"/>
      <c r="P231" s="43"/>
      <c r="Q231" s="43"/>
      <c r="R231" s="43"/>
      <c r="S231" s="43"/>
    </row>
    <row r="232" spans="2:20" ht="13.5" hidden="1" outlineLevel="1" thickTop="1" x14ac:dyDescent="0.2">
      <c r="B232" s="17"/>
      <c r="C232" s="17"/>
      <c r="D232" s="17"/>
      <c r="E232" s="17"/>
      <c r="F232" s="20"/>
      <c r="G232" s="20"/>
      <c r="H232" s="20"/>
      <c r="I232" s="17"/>
      <c r="J232" s="17"/>
      <c r="K232" s="17"/>
      <c r="L232" s="20"/>
    </row>
    <row r="233" spans="2:20" collapsed="1" x14ac:dyDescent="0.2"/>
    <row r="234" spans="2:20" ht="15.75" hidden="1" outlineLevel="1" x14ac:dyDescent="0.25">
      <c r="N234" s="22" t="s">
        <v>120</v>
      </c>
      <c r="O234" s="17"/>
      <c r="P234" s="17"/>
      <c r="Q234" s="17"/>
      <c r="R234" s="17"/>
      <c r="S234" s="17"/>
      <c r="T234" s="17"/>
    </row>
    <row r="235" spans="2:20" ht="15.75" hidden="1" outlineLevel="1" x14ac:dyDescent="0.25">
      <c r="B235" s="22"/>
      <c r="C235" s="22" t="s">
        <v>117</v>
      </c>
      <c r="D235" s="17"/>
      <c r="E235" s="17"/>
      <c r="F235" s="17"/>
      <c r="G235" s="17"/>
      <c r="H235" s="17"/>
      <c r="I235" s="17"/>
      <c r="J235" s="17"/>
      <c r="K235" s="17"/>
      <c r="L235" s="17"/>
      <c r="N235" s="64">
        <v>2030</v>
      </c>
      <c r="O235" s="17"/>
      <c r="P235" s="17"/>
      <c r="Q235" s="17"/>
      <c r="R235" s="17"/>
      <c r="S235" s="17"/>
      <c r="T235" s="17"/>
    </row>
    <row r="236" spans="2:20" ht="15" hidden="1" outlineLevel="1" x14ac:dyDescent="0.25">
      <c r="B236" s="64"/>
      <c r="C236" s="64">
        <v>2030</v>
      </c>
      <c r="D236" s="17" t="s">
        <v>207</v>
      </c>
      <c r="E236" s="25"/>
      <c r="F236" s="25"/>
      <c r="G236" s="25"/>
      <c r="H236" s="25"/>
      <c r="I236" s="25"/>
      <c r="J236" s="25"/>
      <c r="K236" s="25"/>
      <c r="L236" s="25"/>
      <c r="N236" s="17"/>
      <c r="O236" s="17"/>
      <c r="P236" s="17"/>
      <c r="Q236" s="17"/>
      <c r="R236" s="17"/>
      <c r="S236" s="17"/>
      <c r="T236" s="17"/>
    </row>
    <row r="237" spans="2:20" hidden="1" outlineLevel="1" x14ac:dyDescent="0.2">
      <c r="B237" s="302"/>
      <c r="C237" s="17"/>
      <c r="D237" s="17" t="s">
        <v>261</v>
      </c>
      <c r="E237" s="315">
        <f>(1+(IF(NOT(ISBLANK($K17)),$K17/100,$I17/100)))</f>
        <v>0.95</v>
      </c>
      <c r="F237" s="17"/>
      <c r="G237" s="17"/>
      <c r="H237" s="17"/>
      <c r="I237" s="17"/>
      <c r="J237" s="17"/>
      <c r="K237" s="17"/>
      <c r="L237" s="17"/>
      <c r="N237" s="17"/>
      <c r="O237" s="17"/>
      <c r="P237" s="17"/>
      <c r="Q237" s="17"/>
      <c r="R237" s="17"/>
      <c r="S237" s="17"/>
      <c r="T237" s="17"/>
    </row>
    <row r="238" spans="2:20" hidden="1" outlineLevel="1" x14ac:dyDescent="0.2">
      <c r="B238" s="302"/>
      <c r="C238" s="17"/>
      <c r="D238" s="17" t="s">
        <v>262</v>
      </c>
      <c r="E238" s="315">
        <f>(1+(IF(NOT(ISBLANK($K18)),$K18/100,$I18/100)))</f>
        <v>0.95</v>
      </c>
      <c r="F238" s="17"/>
      <c r="G238" s="17"/>
      <c r="H238" s="17"/>
      <c r="I238" s="17"/>
      <c r="J238" s="17"/>
      <c r="K238" s="17"/>
      <c r="L238" s="17"/>
      <c r="N238" s="17"/>
      <c r="O238" s="17"/>
      <c r="P238" s="17"/>
      <c r="Q238" s="17"/>
      <c r="R238" s="17"/>
      <c r="S238" s="17"/>
      <c r="T238" s="17"/>
    </row>
    <row r="239" spans="2:20" hidden="1" outlineLevel="1" x14ac:dyDescent="0.2">
      <c r="B239" s="302"/>
      <c r="C239" s="17"/>
      <c r="D239" s="17" t="s">
        <v>51</v>
      </c>
      <c r="E239" s="315">
        <f>(1+(IF(NOT(ISBLANK($K19)),$K19/100,$I19/100)))</f>
        <v>0.95</v>
      </c>
      <c r="F239" s="17"/>
      <c r="G239" s="17"/>
      <c r="H239" s="17"/>
      <c r="I239" s="17"/>
      <c r="J239" s="17"/>
      <c r="K239" s="17"/>
      <c r="L239" s="17"/>
      <c r="N239" s="17"/>
      <c r="O239" s="17"/>
      <c r="P239" s="17"/>
      <c r="Q239" s="17"/>
      <c r="R239" s="17"/>
      <c r="S239" s="17"/>
      <c r="T239" s="17"/>
    </row>
    <row r="240" spans="2:20" hidden="1" outlineLevel="1" x14ac:dyDescent="0.2">
      <c r="B240" s="302"/>
      <c r="C240" s="17"/>
      <c r="D240" s="17" t="s">
        <v>163</v>
      </c>
      <c r="E240" s="315">
        <f>(1+(IF(NOT(ISBLANK($K20)),$K20/100,$I20/100)))</f>
        <v>0.95</v>
      </c>
      <c r="F240" s="17"/>
      <c r="G240" s="17"/>
      <c r="H240" s="17"/>
      <c r="I240" s="17"/>
      <c r="J240" s="17"/>
      <c r="K240" s="17"/>
      <c r="L240" s="17"/>
      <c r="N240" s="17"/>
      <c r="O240" s="17"/>
      <c r="P240" s="17"/>
      <c r="Q240" s="17"/>
      <c r="R240" s="17"/>
      <c r="S240" s="17"/>
      <c r="T240" s="17"/>
    </row>
    <row r="241" spans="2:20" hidden="1" outlineLevel="1" x14ac:dyDescent="0.2">
      <c r="B241" s="302"/>
      <c r="C241" s="17"/>
      <c r="D241" s="17"/>
      <c r="E241" s="316"/>
      <c r="F241" s="17"/>
      <c r="G241" s="17"/>
      <c r="H241" s="17"/>
      <c r="I241" s="17"/>
      <c r="J241" s="17"/>
      <c r="K241" s="17"/>
      <c r="L241" s="17"/>
      <c r="N241" s="17"/>
      <c r="O241" s="17"/>
      <c r="P241" s="17"/>
      <c r="Q241" s="17"/>
      <c r="R241" s="17"/>
      <c r="S241" s="17"/>
      <c r="T241" s="17"/>
    </row>
    <row r="242" spans="2:20" hidden="1" outlineLevel="1" x14ac:dyDescent="0.2">
      <c r="B242" s="302"/>
      <c r="C242" s="17"/>
      <c r="D242" s="17" t="s">
        <v>60</v>
      </c>
      <c r="E242" s="315">
        <f>(1+(IF(NOT(ISBLANK($K23)),$K23/100,$I23/100)))</f>
        <v>1</v>
      </c>
      <c r="F242" s="17"/>
      <c r="G242" s="17"/>
      <c r="H242" s="17"/>
      <c r="I242" s="17"/>
      <c r="J242" s="17"/>
      <c r="K242" s="17"/>
      <c r="L242" s="17"/>
      <c r="N242" s="17"/>
      <c r="O242" s="17"/>
      <c r="P242" s="17"/>
      <c r="Q242" s="17"/>
      <c r="R242" s="17"/>
      <c r="S242" s="17"/>
      <c r="T242" s="17"/>
    </row>
    <row r="243" spans="2:20" hidden="1" outlineLevel="1" x14ac:dyDescent="0.2">
      <c r="B243" s="302"/>
      <c r="C243" s="17"/>
      <c r="D243" s="17" t="s">
        <v>61</v>
      </c>
      <c r="E243" s="315">
        <f>(1+(IF(NOT(ISBLANK($K24)),$K24/100,$I24/100)))</f>
        <v>1.05</v>
      </c>
      <c r="F243" s="17"/>
      <c r="G243" s="17"/>
      <c r="H243" s="17"/>
      <c r="I243" s="17"/>
      <c r="J243" s="17"/>
      <c r="K243" s="17"/>
      <c r="L243" s="17"/>
      <c r="N243" s="17"/>
      <c r="O243" s="17"/>
      <c r="P243" s="17"/>
      <c r="Q243" s="17"/>
      <c r="R243" s="17"/>
      <c r="S243" s="17"/>
      <c r="T243" s="17"/>
    </row>
    <row r="244" spans="2:20" hidden="1" outlineLevel="1" x14ac:dyDescent="0.2">
      <c r="B244" s="302"/>
      <c r="C244" s="17"/>
      <c r="D244" s="17" t="s">
        <v>62</v>
      </c>
      <c r="E244" s="315">
        <f>(1+(IF(NOT(ISBLANK($K25)),$K25/100,$I25/100)))</f>
        <v>1.05</v>
      </c>
      <c r="F244" s="17"/>
      <c r="G244" s="17"/>
      <c r="H244" s="17"/>
      <c r="I244" s="17"/>
      <c r="J244" s="17"/>
      <c r="K244" s="17"/>
      <c r="L244" s="17"/>
      <c r="N244" s="17"/>
      <c r="O244" s="17"/>
      <c r="P244" s="17"/>
      <c r="Q244" s="18"/>
      <c r="R244" s="17"/>
      <c r="S244" s="18"/>
      <c r="T244" s="18"/>
    </row>
    <row r="245" spans="2:20" hidden="1" outlineLevel="1" x14ac:dyDescent="0.2">
      <c r="B245" s="17"/>
      <c r="C245" s="17"/>
      <c r="D245" s="17"/>
      <c r="E245" s="17"/>
      <c r="F245" s="17"/>
      <c r="G245" s="17"/>
      <c r="H245" s="17"/>
      <c r="I245" s="17"/>
      <c r="J245" s="17"/>
      <c r="K245" s="17"/>
      <c r="L245" s="17"/>
      <c r="N245" s="17"/>
      <c r="O245" s="17"/>
      <c r="P245" s="17"/>
      <c r="Q245" s="18"/>
      <c r="R245" s="17"/>
      <c r="S245" s="18"/>
      <c r="T245" s="18"/>
    </row>
    <row r="246" spans="2:20" ht="25.5" hidden="1" outlineLevel="1" x14ac:dyDescent="0.2">
      <c r="B246" s="17"/>
      <c r="C246" s="17"/>
      <c r="D246" s="17"/>
      <c r="E246" s="17"/>
      <c r="F246" s="36" t="s">
        <v>27</v>
      </c>
      <c r="G246" s="36" t="s">
        <v>85</v>
      </c>
      <c r="H246" s="36" t="s">
        <v>29</v>
      </c>
      <c r="I246" s="17"/>
      <c r="J246" s="40" t="s">
        <v>114</v>
      </c>
      <c r="K246" s="41" t="s">
        <v>40</v>
      </c>
      <c r="L246" s="17"/>
      <c r="N246" s="17" t="s">
        <v>148</v>
      </c>
      <c r="O246" s="17"/>
      <c r="P246" s="17"/>
      <c r="Q246" s="18"/>
      <c r="R246" s="17"/>
      <c r="S246" s="18"/>
      <c r="T246" s="18"/>
    </row>
    <row r="247" spans="2:20" ht="14.25" hidden="1" outlineLevel="1" x14ac:dyDescent="0.25">
      <c r="B247" s="76"/>
      <c r="C247" s="76" t="s">
        <v>191</v>
      </c>
      <c r="D247" s="76"/>
      <c r="E247" s="76"/>
      <c r="F247" s="77">
        <f>SUM(F249:F262)</f>
        <v>106.60088015999999</v>
      </c>
      <c r="G247" s="77">
        <f>SUM(G249:G262)</f>
        <v>102.58759141018427</v>
      </c>
      <c r="H247" s="77">
        <f>SUM(H249:H262)</f>
        <v>33.751991196047953</v>
      </c>
      <c r="I247" s="76"/>
      <c r="J247" s="77">
        <f>F247+G247</f>
        <v>209.18847157018428</v>
      </c>
      <c r="K247" s="77">
        <f>SUM(F247:H247)</f>
        <v>242.94046276623223</v>
      </c>
      <c r="L247" s="76" t="s">
        <v>198</v>
      </c>
      <c r="N247" s="302"/>
      <c r="O247" s="17" t="s">
        <v>128</v>
      </c>
      <c r="P247" s="17"/>
      <c r="Q247" s="19"/>
      <c r="R247" s="17"/>
      <c r="S247" s="42">
        <f>IF(NOT(ISBLANK('Referenz Pflasterwerk'!$I16)),'Referenz Pflasterwerk'!$I16,'Referenz Pflasterwerk'!$F16)/1000*IF(NOT(ISBLANK('Eingabe Preise'!$O10)),'Eingabe Preise'!$O10,'Eingabe Preise'!$M10)</f>
        <v>549</v>
      </c>
      <c r="T247" s="20" t="s">
        <v>109</v>
      </c>
    </row>
    <row r="248" spans="2:20" hidden="1" outlineLevel="1" x14ac:dyDescent="0.2">
      <c r="B248" s="17"/>
      <c r="C248" s="17" t="s">
        <v>148</v>
      </c>
      <c r="D248" s="17"/>
      <c r="E248" s="17"/>
      <c r="F248" s="17"/>
      <c r="G248" s="17"/>
      <c r="H248" s="17"/>
      <c r="I248" s="17"/>
      <c r="J248" s="17"/>
      <c r="K248" s="17"/>
      <c r="L248" s="17"/>
      <c r="N248" s="302"/>
      <c r="O248" s="17" t="s">
        <v>166</v>
      </c>
      <c r="P248" s="17"/>
      <c r="Q248" s="20"/>
      <c r="R248" s="17"/>
      <c r="S248" s="42">
        <f>IF(NOT(ISBLANK('Referenz Pflasterwerk'!$I17)),'Referenz Pflasterwerk'!$I17,'Referenz Pflasterwerk'!$F17)/1000*IF(NOT(ISBLANK('Eingabe Preise'!$O11)),'Eingabe Preise'!$O11,'Eingabe Preise'!$M11)</f>
        <v>92</v>
      </c>
      <c r="T248" s="20" t="s">
        <v>109</v>
      </c>
    </row>
    <row r="249" spans="2:20" ht="15.75" hidden="1" outlineLevel="1" x14ac:dyDescent="0.3">
      <c r="B249" s="302"/>
      <c r="C249" s="17"/>
      <c r="D249" s="17" t="s">
        <v>128</v>
      </c>
      <c r="E249" s="17"/>
      <c r="F249" s="38">
        <f>IF(NOT(ISBLANK('Referenz Pflasterwerk'!$I16)),'Referenz Pflasterwerk'!$I16,'Referenz Pflasterwerk'!$F16)*IF(NOT(ISBLANK('Eingabe EF'!$AS9)),'Eingabe EF'!$AS9,'Eingabe EF'!$AQ9)</f>
        <v>1.6484399999999999</v>
      </c>
      <c r="G249" s="38">
        <f>IF(NOT(ISBLANK('Referenz Pflasterwerk'!$I16)),'Referenz Pflasterwerk'!$I16,'Referenz Pflasterwerk'!$F16)*IF(NOT(ISBLANK('Eingabe EF'!$AW9)),'Eingabe EF'!$AW9,'Eingabe EF'!$AU9)</f>
        <v>0</v>
      </c>
      <c r="H249" s="38">
        <f>IF(NOT(ISBLANK('Referenz Pflasterwerk'!$I16)),'Referenz Pflasterwerk'!$I16,'Referenz Pflasterwerk'!$F16)*IF(NOT(ISBLANK('Eingabe EF'!$BA9)),'Eingabe EF'!$BA9,'Eingabe EF'!$AY9)</f>
        <v>0.28215000000000001</v>
      </c>
      <c r="I249" s="17"/>
      <c r="J249" s="38">
        <f>F249+G249</f>
        <v>1.6484399999999999</v>
      </c>
      <c r="K249" s="38">
        <f>SUM(F249:H249)</f>
        <v>1.93059</v>
      </c>
      <c r="L249" s="17" t="s">
        <v>199</v>
      </c>
      <c r="N249" s="302"/>
      <c r="O249" s="17" t="s">
        <v>154</v>
      </c>
      <c r="P249" s="17"/>
      <c r="Q249" s="20"/>
      <c r="R249" s="17"/>
      <c r="S249" s="42">
        <f>IF(NOT(ISBLANK('Referenz Pflasterwerk'!$I18)),'Referenz Pflasterwerk'!$I18,'Referenz Pflasterwerk'!$F18)/1000*IF(NOT(ISBLANK('Eingabe Preise'!$O12)),'Eingabe Preise'!$O12,'Eingabe Preise'!$M12)</f>
        <v>25800</v>
      </c>
      <c r="T249" s="20" t="s">
        <v>109</v>
      </c>
    </row>
    <row r="250" spans="2:20" ht="15.75" hidden="1" outlineLevel="1" x14ac:dyDescent="0.3">
      <c r="B250" s="302"/>
      <c r="C250" s="17"/>
      <c r="D250" s="17" t="s">
        <v>166</v>
      </c>
      <c r="E250" s="17"/>
      <c r="F250" s="38">
        <f>IF(NOT(ISBLANK('Referenz Pflasterwerk'!$I17)),'Referenz Pflasterwerk'!$I17,'Referenz Pflasterwerk'!$F17)*IF(NOT(ISBLANK('Eingabe EF'!$AS10)),'Eingabe EF'!$AS10,'Eingabe EF'!$AQ10)</f>
        <v>0.53351999999999999</v>
      </c>
      <c r="G250" s="38">
        <f>IF(NOT(ISBLANK('Referenz Pflasterwerk'!$I17)),'Referenz Pflasterwerk'!$I17,'Referenz Pflasterwerk'!$F17)*IF(NOT(ISBLANK('Eingabe EF'!$AW10)),'Eingabe EF'!$AW10,'Eingabe EF'!$AU10)</f>
        <v>0</v>
      </c>
      <c r="H250" s="38">
        <f>IF(NOT(ISBLANK('Referenz Pflasterwerk'!$I17)),'Referenz Pflasterwerk'!$I17,'Referenz Pflasterwerk'!$F17)*IF(NOT(ISBLANK('Eingabe EF'!$BA10)),'Eingabe EF'!$BA10,'Eingabe EF'!$AY10)</f>
        <v>7.9152E-2</v>
      </c>
      <c r="I250" s="17"/>
      <c r="J250" s="38">
        <f>F250+G250</f>
        <v>0.53351999999999999</v>
      </c>
      <c r="K250" s="38">
        <f>SUM(F250:H250)</f>
        <v>0.61267199999999999</v>
      </c>
      <c r="L250" s="17" t="s">
        <v>199</v>
      </c>
      <c r="N250" s="302"/>
      <c r="O250" s="17" t="s">
        <v>129</v>
      </c>
      <c r="P250" s="17"/>
      <c r="Q250" s="20"/>
      <c r="R250" s="17"/>
      <c r="S250" s="42">
        <f>IF(NOT(ISBLANK('Referenz Pflasterwerk'!$I19)),'Referenz Pflasterwerk'!$I19,'Referenz Pflasterwerk'!$F19)/1000*IF(NOT(ISBLANK('Eingabe Preise'!$O16)),'Eingabe Preise'!$O16,0)</f>
        <v>0</v>
      </c>
      <c r="T250" s="20" t="s">
        <v>109</v>
      </c>
    </row>
    <row r="251" spans="2:20" ht="15.75" hidden="1" outlineLevel="1" x14ac:dyDescent="0.3">
      <c r="B251" s="302"/>
      <c r="C251" s="17"/>
      <c r="D251" s="17" t="s">
        <v>154</v>
      </c>
      <c r="E251" s="17"/>
      <c r="F251" s="38">
        <f>IF(NOT(ISBLANK('Referenz Pflasterwerk'!$I18)),'Referenz Pflasterwerk'!$I18,'Referenz Pflasterwerk'!$F18)*IF(NOT(ISBLANK('Eingabe EF'!$AS11)),'Eingabe EF'!$AS11,'Eingabe EF'!$AQ11)</f>
        <v>0</v>
      </c>
      <c r="G251" s="38">
        <f>IF(NOT(ISBLANK('Referenz Pflasterwerk'!$I18)),'Referenz Pflasterwerk'!$I18,'Referenz Pflasterwerk'!$F18)*IF(NOT(ISBLANK('Eingabe EF'!$AW11)),'Eingabe EF'!$AW11,'Eingabe EF'!$AU11)</f>
        <v>20.517518282036853</v>
      </c>
      <c r="H251" s="38">
        <f>IF(NOT(ISBLANK('Referenz Pflasterwerk'!$I18)),'Referenz Pflasterwerk'!$I18,'Referenz Pflasterwerk'!$F18)*IF(NOT(ISBLANK('Eingabe EF'!$BA11)),'Eingabe EF'!$BA11,'Eingabe EF'!$AY11)</f>
        <v>3.0078037272095908</v>
      </c>
      <c r="I251" s="17"/>
      <c r="J251" s="38">
        <f>F251+G251</f>
        <v>20.517518282036853</v>
      </c>
      <c r="K251" s="38">
        <f>SUM(F251:H251)</f>
        <v>23.525322009246445</v>
      </c>
      <c r="L251" s="17" t="s">
        <v>199</v>
      </c>
      <c r="N251" s="17" t="s">
        <v>149</v>
      </c>
      <c r="O251" s="17"/>
      <c r="P251" s="17"/>
      <c r="Q251" s="20"/>
      <c r="R251" s="17"/>
      <c r="S251" s="20"/>
      <c r="T251" s="20"/>
    </row>
    <row r="252" spans="2:20" ht="15.75" hidden="1" outlineLevel="1" x14ac:dyDescent="0.3">
      <c r="B252" s="302"/>
      <c r="C252" s="17"/>
      <c r="D252" s="17" t="s">
        <v>129</v>
      </c>
      <c r="E252" s="17"/>
      <c r="F252" s="44">
        <f>IF(NOT(ISBLANK('Referenz Pflasterwerk'!$I19)),'Referenz Pflasterwerk'!$I19,'Referenz Pflasterwerk'!$F19)*IF(NOT(ISBLANK('Eingabe EF'!$AS12)),'Eingabe EF'!$AS12,0)</f>
        <v>0</v>
      </c>
      <c r="G252" s="44">
        <f>IF(NOT(ISBLANK('Referenz Pflasterwerk'!$I19)),'Referenz Pflasterwerk'!$I19,'Referenz Pflasterwerk'!$F19)*IF(NOT(ISBLANK('Eingabe EF'!$AW12)),'Eingabe EF'!$AW12,0)</f>
        <v>0</v>
      </c>
      <c r="H252" s="44">
        <f>IF(NOT(ISBLANK('Referenz Pflasterwerk'!$I19)),'Referenz Pflasterwerk'!$I19,'Referenz Pflasterwerk'!$F19)*IF(NOT(ISBLANK('Eingabe EF'!$BA12)),'Eingabe EF'!$BA12,0)</f>
        <v>0</v>
      </c>
      <c r="I252" s="17"/>
      <c r="J252" s="38">
        <f>F252+G252</f>
        <v>0</v>
      </c>
      <c r="K252" s="38">
        <f>SUM(F252:H252)</f>
        <v>0</v>
      </c>
      <c r="L252" s="17" t="s">
        <v>199</v>
      </c>
      <c r="N252" s="17"/>
      <c r="O252" s="17" t="s">
        <v>32</v>
      </c>
      <c r="P252" s="17"/>
      <c r="Q252" s="20"/>
      <c r="R252" s="17"/>
      <c r="S252" s="42">
        <f>IF(NOT(ISBLANK('Referenz Pflasterwerk'!$I21)),'Referenz Pflasterwerk'!$I21,'Referenz Pflasterwerk'!$F21)/1000*IF(NOT(ISBLANK('Eingabe Preise'!$O10)),'Eingabe Preise'!$O10,'Eingabe Preise'!$M10)</f>
        <v>2196</v>
      </c>
      <c r="T252" s="20" t="s">
        <v>109</v>
      </c>
    </row>
    <row r="253" spans="2:20" hidden="1" outlineLevel="1" x14ac:dyDescent="0.2">
      <c r="B253" s="17"/>
      <c r="C253" s="17" t="s">
        <v>149</v>
      </c>
      <c r="D253" s="17"/>
      <c r="E253" s="17"/>
      <c r="F253" s="17"/>
      <c r="G253" s="17"/>
      <c r="H253" s="17"/>
      <c r="I253" s="17"/>
      <c r="J253" s="17"/>
      <c r="K253" s="17"/>
      <c r="L253" s="17"/>
      <c r="N253" s="17"/>
      <c r="O253" s="17" t="s">
        <v>33</v>
      </c>
      <c r="P253" s="17"/>
      <c r="Q253" s="20"/>
      <c r="R253" s="17"/>
      <c r="S253" s="42">
        <f>IF(NOT(ISBLANK('Referenz Pflasterwerk'!$I22)),'Referenz Pflasterwerk'!$I22,'Referenz Pflasterwerk'!$F22)/1000*IF(NOT(ISBLANK('Eingabe Preise'!$O11)),'Eingabe Preise'!$O11,'Eingabe Preise'!$M11)</f>
        <v>368</v>
      </c>
      <c r="T253" s="20" t="s">
        <v>109</v>
      </c>
    </row>
    <row r="254" spans="2:20" ht="15.75" hidden="1" outlineLevel="1" x14ac:dyDescent="0.3">
      <c r="B254" s="17"/>
      <c r="C254" s="17"/>
      <c r="D254" s="17" t="s">
        <v>32</v>
      </c>
      <c r="E254" s="17"/>
      <c r="F254" s="44">
        <f>IF(NOT(ISBLANK('Referenz Pflasterwerk'!$I21)),'Referenz Pflasterwerk'!$I21,'Referenz Pflasterwerk'!$F21)*IF(NOT(ISBLANK('Eingabe EF'!$AS9)),'Eingabe EF'!$AS9,'Eingabe EF'!$AQ9)</f>
        <v>6.5937599999999996</v>
      </c>
      <c r="G254" s="44">
        <f>IF(NOT(ISBLANK('Referenz Pflasterwerk'!$I21)),'Referenz Pflasterwerk'!$I21,'Referenz Pflasterwerk'!$F21)*IF(NOT(ISBLANK('Eingabe EF'!$AW9)),'Eingabe EF'!$AW9,'Eingabe EF'!$AU9)</f>
        <v>0</v>
      </c>
      <c r="H254" s="44">
        <f>IF(NOT(ISBLANK('Referenz Pflasterwerk'!$I21)),'Referenz Pflasterwerk'!$I21,'Referenz Pflasterwerk'!$F21)*IF(NOT(ISBLANK('Eingabe EF'!$BA9)),'Eingabe EF'!$BA9,'Eingabe EF'!$AY9)</f>
        <v>1.1286</v>
      </c>
      <c r="I254" s="17"/>
      <c r="J254" s="38">
        <f t="shared" ref="J254:J255" si="49">F254+G254</f>
        <v>6.5937599999999996</v>
      </c>
      <c r="K254" s="38">
        <f t="shared" ref="K254:K255" si="50">SUM(F254:H254)</f>
        <v>7.7223600000000001</v>
      </c>
      <c r="L254" s="17" t="s">
        <v>199</v>
      </c>
      <c r="N254" s="17" t="s">
        <v>150</v>
      </c>
      <c r="O254" s="17"/>
      <c r="P254" s="17"/>
      <c r="Q254" s="20"/>
      <c r="R254" s="17"/>
      <c r="S254" s="20"/>
      <c r="T254" s="20"/>
    </row>
    <row r="255" spans="2:20" ht="15.75" hidden="1" outlineLevel="1" x14ac:dyDescent="0.3">
      <c r="B255" s="17"/>
      <c r="C255" s="17"/>
      <c r="D255" s="17" t="s">
        <v>33</v>
      </c>
      <c r="E255" s="17"/>
      <c r="F255" s="44">
        <f>IF(NOT(ISBLANK('Referenz Pflasterwerk'!$I22)),'Referenz Pflasterwerk'!$I22,'Referenz Pflasterwerk'!$F22)*IF(NOT(ISBLANK('Eingabe EF'!$AS10)),'Eingabe EF'!$AS10,'Eingabe EF'!$AQ10)</f>
        <v>2.13408</v>
      </c>
      <c r="G255" s="44">
        <f>IF(NOT(ISBLANK('Referenz Pflasterwerk'!$I22)),'Referenz Pflasterwerk'!$I22,'Referenz Pflasterwerk'!$F22)*IF(NOT(ISBLANK('Eingabe EF'!$AW10)),'Eingabe EF'!$AW10,'Eingabe EF'!$AU10)</f>
        <v>0</v>
      </c>
      <c r="H255" s="44">
        <f>IF(NOT(ISBLANK('Referenz Pflasterwerk'!$I22)),'Referenz Pflasterwerk'!$I22,'Referenz Pflasterwerk'!$F22)*IF(NOT(ISBLANK('Eingabe EF'!$BA10)),'Eingabe EF'!$BA10,'Eingabe EF'!$AY10)</f>
        <v>0.316608</v>
      </c>
      <c r="I255" s="17"/>
      <c r="J255" s="38">
        <f t="shared" si="49"/>
        <v>2.13408</v>
      </c>
      <c r="K255" s="38">
        <f t="shared" si="50"/>
        <v>2.450688</v>
      </c>
      <c r="L255" s="17" t="s">
        <v>199</v>
      </c>
      <c r="N255" s="17"/>
      <c r="O255" s="17" t="s">
        <v>152</v>
      </c>
      <c r="P255" s="17"/>
      <c r="Q255" s="20"/>
      <c r="R255" s="17"/>
      <c r="S255" s="42">
        <f>IF(NOT(ISBLANK('Referenz Pflasterwerk'!$I24)),'Referenz Pflasterwerk'!$I24,'Referenz Pflasterwerk'!$F24)/1000*IF(NOT(ISBLANK('Eingabe Preise'!$O12)),'Eingabe Preise'!$O12,'Eingabe Preise'!$M12)</f>
        <v>103200</v>
      </c>
      <c r="T255" s="20" t="s">
        <v>109</v>
      </c>
    </row>
    <row r="256" spans="2:20" hidden="1" outlineLevel="1" x14ac:dyDescent="0.2">
      <c r="B256" s="17"/>
      <c r="C256" s="17" t="s">
        <v>150</v>
      </c>
      <c r="D256" s="17"/>
      <c r="E256" s="17"/>
      <c r="F256" s="17"/>
      <c r="G256" s="17"/>
      <c r="H256" s="17"/>
      <c r="I256" s="17"/>
      <c r="J256" s="17"/>
      <c r="K256" s="17"/>
      <c r="L256" s="17"/>
      <c r="N256" s="17"/>
      <c r="O256" s="17" t="s">
        <v>125</v>
      </c>
      <c r="P256" s="17"/>
      <c r="Q256" s="20"/>
      <c r="R256" s="17"/>
      <c r="S256" s="42">
        <f>IF(NOT(ISBLANK('Referenz Pflasterwerk'!$I25)),'Referenz Pflasterwerk'!$I25,'Referenz Pflasterwerk'!$F25)/1000*IF(NOT(ISBLANK('Eingabe Preise'!$O13)),'Eingabe Preise'!$O13,'Eingabe Preise'!$M13)</f>
        <v>0</v>
      </c>
      <c r="T256" s="20" t="s">
        <v>109</v>
      </c>
    </row>
    <row r="257" spans="2:20" ht="15.75" hidden="1" outlineLevel="1" x14ac:dyDescent="0.3">
      <c r="B257" s="17"/>
      <c r="C257" s="17"/>
      <c r="D257" s="17" t="s">
        <v>152</v>
      </c>
      <c r="E257" s="17"/>
      <c r="F257" s="44">
        <f>IF(NOT(ISBLANK('Referenz Pflasterwerk'!$I24)),'Referenz Pflasterwerk'!$I24,'Referenz Pflasterwerk'!$F24)*IF(NOT(ISBLANK('Eingabe EF'!$AS11)),'Eingabe EF'!$AS11,'Eingabe EF'!$AQ11)</f>
        <v>0</v>
      </c>
      <c r="G257" s="44">
        <f>IF(NOT(ISBLANK('Referenz Pflasterwerk'!$I24)),'Referenz Pflasterwerk'!$I24,'Referenz Pflasterwerk'!$F24)*IF(NOT(ISBLANK('Eingabe EF'!$AW11)),'Eingabe EF'!$AW11,'Eingabe EF'!$AU11)</f>
        <v>82.070073128147413</v>
      </c>
      <c r="H257" s="44">
        <f>IF(NOT(ISBLANK('Referenz Pflasterwerk'!$I24)),'Referenz Pflasterwerk'!$I24,'Referenz Pflasterwerk'!$F24)*IF(NOT(ISBLANK('Eingabe EF'!$BA11)),'Eingabe EF'!$BA11,'Eingabe EF'!$AY11)</f>
        <v>12.031214908838363</v>
      </c>
      <c r="I257" s="17"/>
      <c r="J257" s="38">
        <f t="shared" ref="J257:J265" si="51">F257+G257</f>
        <v>82.070073128147413</v>
      </c>
      <c r="K257" s="38">
        <f t="shared" ref="K257:K265" si="52">SUM(F257:H257)</f>
        <v>94.101288036985778</v>
      </c>
      <c r="L257" s="17" t="s">
        <v>199</v>
      </c>
      <c r="N257" s="17"/>
      <c r="O257" s="17" t="s">
        <v>151</v>
      </c>
      <c r="P257" s="17"/>
      <c r="Q257" s="30"/>
      <c r="R257" s="17"/>
      <c r="S257" s="42">
        <f>IF(NOT(ISBLANK('Referenz Pflasterwerk'!$I26)),'Referenz Pflasterwerk'!$I26,'Referenz Pflasterwerk'!$F26)/1000*IF(NOT(ISBLANK('Eingabe Preise'!$O17)),'Eingabe Preise'!$O17,0)</f>
        <v>0</v>
      </c>
      <c r="T257" s="20" t="s">
        <v>109</v>
      </c>
    </row>
    <row r="258" spans="2:20" ht="15.75" hidden="1" outlineLevel="1" x14ac:dyDescent="0.3">
      <c r="B258" s="17"/>
      <c r="C258" s="17"/>
      <c r="D258" s="17" t="s">
        <v>125</v>
      </c>
      <c r="E258" s="17"/>
      <c r="F258" s="44">
        <f>IF(NOT(ISBLANK('Referenz Pflasterwerk'!$I25)),'Referenz Pflasterwerk'!$I25,'Referenz Pflasterwerk'!$F25)*IF(NOT(ISBLANK('Eingabe EF'!$AS13)),'Eingabe EF'!$AS13,'Eingabe EF'!$AQ13)</f>
        <v>0</v>
      </c>
      <c r="G258" s="44">
        <f>IF(NOT(ISBLANK('Referenz Pflasterwerk'!$I25)),'Referenz Pflasterwerk'!$I25,'Referenz Pflasterwerk'!$F25)*IF(NOT(ISBLANK('Eingabe EF'!$AW13)),'Eingabe EF'!$AW13,'Eingabe EF'!$AU13)</f>
        <v>0</v>
      </c>
      <c r="H258" s="44">
        <f>IF(NOT(ISBLANK('Referenz Pflasterwerk'!$I25)),'Referenz Pflasterwerk'!$I25,'Referenz Pflasterwerk'!$F25)*IF(NOT(ISBLANK('Eingabe EF'!$BA13)),'Eingabe EF'!$BA13,'Eingabe EF'!$AY13)</f>
        <v>0</v>
      </c>
      <c r="I258" s="17"/>
      <c r="J258" s="38">
        <f t="shared" si="51"/>
        <v>0</v>
      </c>
      <c r="K258" s="38">
        <f t="shared" si="52"/>
        <v>0</v>
      </c>
      <c r="L258" s="17" t="s">
        <v>199</v>
      </c>
      <c r="N258" s="17"/>
      <c r="O258" s="17"/>
      <c r="P258" s="17"/>
      <c r="Q258" s="30"/>
      <c r="R258" s="17"/>
      <c r="S258" s="17"/>
      <c r="T258" s="17"/>
    </row>
    <row r="259" spans="2:20" ht="15.75" hidden="1" outlineLevel="1" x14ac:dyDescent="0.3">
      <c r="B259" s="17"/>
      <c r="C259" s="17"/>
      <c r="D259" s="17" t="s">
        <v>151</v>
      </c>
      <c r="E259" s="17"/>
      <c r="F259" s="44">
        <f>IF(NOT(ISBLANK('Referenz Pflasterwerk'!$I26)),'Referenz Pflasterwerk'!$I26,'Referenz Pflasterwerk'!$F26)*IF(NOT(ISBLANK('Eingabe EF'!$AS14)),'Eingabe EF'!$AS14,0)</f>
        <v>0</v>
      </c>
      <c r="G259" s="44">
        <f>IF(NOT(ISBLANK('Referenz Pflasterwerk'!$I26)),'Referenz Pflasterwerk'!$I26,'Referenz Pflasterwerk'!$F26)*IF(NOT(ISBLANK('Eingabe EF'!$AW14)),'Eingabe EF'!$AW14,0)</f>
        <v>0</v>
      </c>
      <c r="H259" s="44">
        <f>IF(NOT(ISBLANK('Referenz Pflasterwerk'!$I26)),'Referenz Pflasterwerk'!$I26,'Referenz Pflasterwerk'!$F26)*IF(NOT(ISBLANK('Eingabe EF'!$BA14)),'Eingabe EF'!$BA14,0)</f>
        <v>0</v>
      </c>
      <c r="I259" s="17"/>
      <c r="J259" s="38">
        <f t="shared" si="51"/>
        <v>0</v>
      </c>
      <c r="K259" s="38">
        <f t="shared" si="52"/>
        <v>0</v>
      </c>
      <c r="L259" s="17" t="s">
        <v>199</v>
      </c>
      <c r="N259" s="17"/>
      <c r="O259" s="17" t="s">
        <v>35</v>
      </c>
      <c r="P259" s="17" t="s">
        <v>78</v>
      </c>
      <c r="Q259" s="30"/>
      <c r="R259" s="17"/>
      <c r="S259" s="42">
        <f>IF(NOT(ISBLANK('Referenz Pflasterwerk'!$I28)),'Referenz Pflasterwerk'!$I28,'Referenz Pflasterwerk'!$F28)*IF(NOT(ISBLANK('Eingabe Preise'!$O14)),'Eingabe Preise'!$O14,'Eingabe Preise'!$M14)</f>
        <v>35968</v>
      </c>
      <c r="T259" s="20" t="s">
        <v>109</v>
      </c>
    </row>
    <row r="260" spans="2:20" hidden="1" outlineLevel="1" x14ac:dyDescent="0.2">
      <c r="B260" s="17"/>
      <c r="C260" s="17"/>
      <c r="D260" s="17"/>
      <c r="E260" s="17"/>
      <c r="F260" s="17"/>
      <c r="G260" s="17"/>
      <c r="H260" s="17"/>
      <c r="I260" s="17"/>
      <c r="J260" s="17"/>
      <c r="K260" s="17"/>
      <c r="L260" s="17"/>
      <c r="N260" s="17"/>
      <c r="O260" s="17" t="s">
        <v>35</v>
      </c>
      <c r="P260" s="17" t="s">
        <v>77</v>
      </c>
      <c r="Q260" s="30"/>
      <c r="R260" s="17"/>
      <c r="S260" s="42">
        <f>IF(NOT(ISBLANK('Referenz Pflasterwerk'!$I29)),'Referenz Pflasterwerk'!$I29,'Referenz Pflasterwerk'!$F29)*IF(NOT(ISBLANK('Eingabe Preise'!$O14)),'Eingabe Preise'!$O14,'Eingabe Preise'!$M14)</f>
        <v>4496</v>
      </c>
      <c r="T260" s="20" t="s">
        <v>109</v>
      </c>
    </row>
    <row r="261" spans="2:20" ht="15.75" hidden="1" outlineLevel="1" x14ac:dyDescent="0.3">
      <c r="B261" s="17"/>
      <c r="C261" s="17" t="s">
        <v>78</v>
      </c>
      <c r="D261" s="17" t="s">
        <v>35</v>
      </c>
      <c r="E261" s="17"/>
      <c r="F261" s="44">
        <f>IF(NOT(ISBLANK('Referenz Pflasterwerk'!$I28)),'Referenz Pflasterwerk'!$I28,'Referenz Pflasterwerk'!$F28)*IF(NOT(ISBLANK('Eingabe EF'!$AS15)),'Eingabe EF'!$AS15,'Eingabe EF'!$AQ15)</f>
        <v>85.058737919999984</v>
      </c>
      <c r="G261" s="44">
        <f>IF(NOT(ISBLANK('Referenz Pflasterwerk'!$I28)),'Referenz Pflasterwerk'!$I28,'Referenz Pflasterwerk'!$F28)*IF(NOT(ISBLANK('Eingabe EF'!$AW15)),'Eingabe EF'!$AW15,'Eingabe EF'!$AU15)</f>
        <v>0</v>
      </c>
      <c r="H261" s="44">
        <f>IF(NOT(ISBLANK('Referenz Pflasterwerk'!$I28)),'Referenz Pflasterwerk'!$I28,'Referenz Pflasterwerk'!$F28)*IF(NOT(ISBLANK('Eingabe EF'!$BA15)),'Eingabe EF'!$BA15,'Eingabe EF'!$AY15)</f>
        <v>15.027966720000002</v>
      </c>
      <c r="I261" s="17"/>
      <c r="J261" s="38">
        <f t="shared" ref="J261:J263" si="53">F261+G261</f>
        <v>85.058737919999984</v>
      </c>
      <c r="K261" s="38">
        <f t="shared" ref="K261:K263" si="54">SUM(F261:H261)</f>
        <v>100.08670463999999</v>
      </c>
      <c r="L261" s="17" t="s">
        <v>199</v>
      </c>
      <c r="N261" s="17"/>
      <c r="O261" s="17"/>
      <c r="P261" s="17"/>
      <c r="Q261" s="30"/>
      <c r="R261" s="17"/>
      <c r="S261" s="17"/>
      <c r="T261" s="17"/>
    </row>
    <row r="262" spans="2:20" ht="15.75" hidden="1" outlineLevel="1" x14ac:dyDescent="0.3">
      <c r="B262" s="17"/>
      <c r="C262" s="17" t="s">
        <v>77</v>
      </c>
      <c r="D262" s="17" t="s">
        <v>35</v>
      </c>
      <c r="E262" s="17"/>
      <c r="F262" s="44">
        <f>IF(NOT(ISBLANK('Referenz Pflasterwerk'!$I29)),'Referenz Pflasterwerk'!$I29,'Referenz Pflasterwerk'!$F29)*IF(NOT(ISBLANK('Eingabe EF'!$AS15)),'Eingabe EF'!$AS15,'Eingabe EF'!$AQ15)</f>
        <v>10.632342239999998</v>
      </c>
      <c r="G262" s="44">
        <f>IF(NOT(ISBLANK('Referenz Pflasterwerk'!$I29)),'Referenz Pflasterwerk'!$I29,'Referenz Pflasterwerk'!$F29)*IF(NOT(ISBLANK('Eingabe EF'!$AW15)),'Eingabe EF'!$AW15,'Eingabe EF'!$AU15)</f>
        <v>0</v>
      </c>
      <c r="H262" s="44">
        <f>IF(NOT(ISBLANK('Referenz Pflasterwerk'!$I29)),'Referenz Pflasterwerk'!$I29,'Referenz Pflasterwerk'!$F29)*IF(NOT(ISBLANK('Eingabe EF'!$BA15)),'Eingabe EF'!$BA15,'Eingabe EF'!$AY15)</f>
        <v>1.8784958400000002</v>
      </c>
      <c r="I262" s="17"/>
      <c r="J262" s="38">
        <f t="shared" si="53"/>
        <v>10.632342239999998</v>
      </c>
      <c r="K262" s="38">
        <f t="shared" si="54"/>
        <v>12.510838079999999</v>
      </c>
      <c r="L262" s="17" t="s">
        <v>199</v>
      </c>
      <c r="N262" s="17"/>
      <c r="O262" s="17"/>
      <c r="P262" s="17"/>
      <c r="Q262" s="30"/>
      <c r="R262" s="17"/>
      <c r="S262" s="17"/>
      <c r="T262" s="17"/>
    </row>
    <row r="263" spans="2:20" ht="14.25" hidden="1" outlineLevel="1" x14ac:dyDescent="0.25">
      <c r="B263" s="69"/>
      <c r="C263" s="69" t="s">
        <v>190</v>
      </c>
      <c r="D263" s="69"/>
      <c r="E263" s="69"/>
      <c r="F263" s="71">
        <f>F264+F265</f>
        <v>0</v>
      </c>
      <c r="G263" s="71">
        <f t="shared" ref="G263:H263" si="55">G264+G265</f>
        <v>0</v>
      </c>
      <c r="H263" s="71">
        <f t="shared" si="55"/>
        <v>578.62626120000004</v>
      </c>
      <c r="I263" s="69"/>
      <c r="J263" s="71">
        <f t="shared" si="53"/>
        <v>0</v>
      </c>
      <c r="K263" s="71">
        <f t="shared" si="54"/>
        <v>578.62626120000004</v>
      </c>
      <c r="L263" s="76" t="s">
        <v>198</v>
      </c>
      <c r="N263" s="17"/>
      <c r="O263" s="17" t="s">
        <v>31</v>
      </c>
      <c r="P263" s="17"/>
      <c r="Q263" s="30"/>
      <c r="R263" s="17"/>
      <c r="S263" s="42">
        <f>S275+S276</f>
        <v>0</v>
      </c>
      <c r="T263" s="20" t="s">
        <v>109</v>
      </c>
    </row>
    <row r="264" spans="2:20" ht="15.75" hidden="1" outlineLevel="1" x14ac:dyDescent="0.3">
      <c r="B264" s="17"/>
      <c r="C264" s="17"/>
      <c r="D264" s="17" t="s">
        <v>46</v>
      </c>
      <c r="E264" s="17"/>
      <c r="F264" s="44">
        <f>IF(NOT(ISBLANK('Referenz Pflasterwerk'!$I32)),'Referenz Pflasterwerk'!$I32,'Referenz Pflasterwerk'!$F32)*IF(NOT(ISBLANK('Eingabe EF'!$AS17)),'Eingabe EF'!$AS17,'Eingabe EF'!$AQ17)</f>
        <v>0</v>
      </c>
      <c r="G264" s="44">
        <f>IF(NOT(ISBLANK('Referenz Pflasterwerk'!$I32)),'Referenz Pflasterwerk'!$I32,'Referenz Pflasterwerk'!$F32)*IF(NOT(ISBLANK('Eingabe EF'!$AW17)),'Eingabe EF'!$AW17,'Eingabe EF'!$AU17)</f>
        <v>0</v>
      </c>
      <c r="H264" s="44">
        <f>IF(NOT(ISBLANK('Referenz Pflasterwerk'!$I32)),'Referenz Pflasterwerk'!$I32,'Referenz Pflasterwerk'!$F32)*IF(NOT(ISBLANK('Eingabe EF'!$BA17)),'Eingabe EF'!$BA17,'Eingabe EF'!$AY17)</f>
        <v>250.21676159999998</v>
      </c>
      <c r="I264" s="17"/>
      <c r="J264" s="38">
        <f t="shared" si="51"/>
        <v>0</v>
      </c>
      <c r="K264" s="38">
        <f t="shared" si="52"/>
        <v>250.21676159999998</v>
      </c>
      <c r="L264" s="17" t="s">
        <v>199</v>
      </c>
      <c r="N264" s="17"/>
      <c r="O264" s="45" t="s">
        <v>155</v>
      </c>
      <c r="P264" s="17"/>
      <c r="Q264" s="30"/>
      <c r="R264" s="17"/>
      <c r="S264" s="42">
        <f>IF(NOT(ISBLANK($K$34)),$K$34,$I$34)</f>
        <v>0</v>
      </c>
      <c r="T264" s="20" t="s">
        <v>109</v>
      </c>
    </row>
    <row r="265" spans="2:20" ht="15.75" hidden="1" outlineLevel="1" x14ac:dyDescent="0.3">
      <c r="B265" s="17"/>
      <c r="C265" s="17"/>
      <c r="D265" s="17" t="s">
        <v>47</v>
      </c>
      <c r="E265" s="17"/>
      <c r="F265" s="44">
        <f>IF(NOT(ISBLANK('Referenz Pflasterwerk'!$I33)),'Referenz Pflasterwerk'!$I33,'Referenz Pflasterwerk'!$F33)*IF(NOT(ISBLANK('Eingabe EF'!$AS18)),'Eingabe EF'!$AS18,'Eingabe EF'!$AQ18)</f>
        <v>0</v>
      </c>
      <c r="G265" s="44">
        <f>IF(NOT(ISBLANK('Referenz Pflasterwerk'!$I33)),'Referenz Pflasterwerk'!$I33,'Referenz Pflasterwerk'!$F33)*IF(NOT(ISBLANK('Eingabe EF'!$AW18)),'Eingabe EF'!$AW18,'Eingabe EF'!$AU18)</f>
        <v>0</v>
      </c>
      <c r="H265" s="44">
        <f>IF(NOT(ISBLANK('Referenz Pflasterwerk'!$I33)),'Referenz Pflasterwerk'!$I33,'Referenz Pflasterwerk'!$F33)*IF(NOT(ISBLANK('Eingabe EF'!$BA18)),'Eingabe EF'!$BA18,'Eingabe EF'!$AY18)</f>
        <v>328.4094996</v>
      </c>
      <c r="I265" s="17"/>
      <c r="J265" s="38">
        <f t="shared" si="51"/>
        <v>0</v>
      </c>
      <c r="K265" s="38">
        <f t="shared" si="52"/>
        <v>328.4094996</v>
      </c>
      <c r="L265" s="17" t="s">
        <v>199</v>
      </c>
      <c r="N265" s="17"/>
      <c r="O265" s="45" t="s">
        <v>162</v>
      </c>
      <c r="P265" s="17"/>
      <c r="Q265" s="30"/>
      <c r="R265" s="17"/>
      <c r="S265" s="42">
        <f>S278+S279</f>
        <v>0</v>
      </c>
      <c r="T265" s="20" t="s">
        <v>109</v>
      </c>
    </row>
    <row r="266" spans="2:20" hidden="1" outlineLevel="1" x14ac:dyDescent="0.2">
      <c r="B266" s="17"/>
      <c r="C266" s="17"/>
      <c r="D266" s="17"/>
      <c r="E266" s="17"/>
      <c r="F266" s="20"/>
      <c r="G266" s="20"/>
      <c r="H266" s="20"/>
      <c r="I266" s="17"/>
      <c r="J266" s="20"/>
      <c r="K266" s="20"/>
      <c r="L266" s="17"/>
      <c r="N266" s="17"/>
      <c r="O266" s="17"/>
      <c r="P266" s="17"/>
      <c r="Q266" s="17"/>
      <c r="R266" s="17"/>
      <c r="S266" s="17"/>
      <c r="T266" s="17"/>
    </row>
    <row r="267" spans="2:20" ht="14.25" hidden="1" outlineLevel="1" x14ac:dyDescent="0.25">
      <c r="B267" s="69"/>
      <c r="C267" s="69" t="s">
        <v>69</v>
      </c>
      <c r="D267" s="70"/>
      <c r="E267" s="70"/>
      <c r="F267" s="71">
        <f>SUM(F268:F271)</f>
        <v>0</v>
      </c>
      <c r="G267" s="71">
        <f t="shared" ref="G267" si="56">SUM(G268:G271)</f>
        <v>0</v>
      </c>
      <c r="H267" s="71">
        <f>SUM(H268:H271)</f>
        <v>7299.0780000000004</v>
      </c>
      <c r="I267" s="70"/>
      <c r="J267" s="71">
        <f t="shared" ref="J267:J271" si="57">F267+G267</f>
        <v>0</v>
      </c>
      <c r="K267" s="71">
        <f t="shared" ref="K267" si="58">SUM(F267:H267)</f>
        <v>7299.0780000000004</v>
      </c>
      <c r="L267" s="76" t="s">
        <v>198</v>
      </c>
      <c r="N267" s="17"/>
      <c r="O267" s="17"/>
      <c r="P267" s="17"/>
      <c r="Q267" s="17"/>
      <c r="R267" s="17"/>
      <c r="S267" s="17"/>
      <c r="T267" s="17"/>
    </row>
    <row r="268" spans="2:20" ht="15.75" hidden="1" outlineLevel="1" x14ac:dyDescent="0.3">
      <c r="B268" s="302"/>
      <c r="C268" s="17"/>
      <c r="D268" s="17" t="s">
        <v>48</v>
      </c>
      <c r="E268" s="17"/>
      <c r="F268" s="38">
        <f>E237*IF(NOT(ISBLANK('Referenz Pflasterwerk'!$I36)),'Referenz Pflasterwerk'!$I36,'Referenz Pflasterwerk'!$F36)*IF(NOT(ISBLANK('Eingabe EF'!$AS21)),'Eingabe EF'!$AS21,'Eingabe EF'!$AQ21)*IF(NOT(ISBLANK('Referenz Pflasterwerk'!$I$12)),'Referenz Pflasterwerk'!$I$12,'Referenz Pflasterwerk'!$F$12)</f>
        <v>0</v>
      </c>
      <c r="G268" s="38">
        <f>E237*IF(NOT(ISBLANK('Referenz Pflasterwerk'!$I36)),'Referenz Pflasterwerk'!$I36,'Referenz Pflasterwerk'!$F36)*IF(NOT(ISBLANK('Eingabe EF'!$AW21)),'Eingabe EF'!$AW21,'Eingabe EF'!$AU21)*IF(NOT(ISBLANK('Referenz Pflasterwerk'!$I$12)),'Referenz Pflasterwerk'!$I$12,'Referenz Pflasterwerk'!$F$12)</f>
        <v>0</v>
      </c>
      <c r="H268" s="38">
        <f>E237*IF(NOT(ISBLANK('Referenz Pflasterwerk'!$I36)),'Referenz Pflasterwerk'!$I36,'Referenz Pflasterwerk'!$F36)*IF(NOT(ISBLANK('Eingabe EF'!$BA21)),'Eingabe EF'!$BA21,'Eingabe EF'!$AY21)*IF(NOT(ISBLANK('Referenz Pflasterwerk'!$I$12)),'Referenz Pflasterwerk'!$I$12,'Referenz Pflasterwerk'!$F$12)</f>
        <v>2037.3937500000002</v>
      </c>
      <c r="I268" s="17"/>
      <c r="J268" s="38">
        <f t="shared" si="57"/>
        <v>0</v>
      </c>
      <c r="K268" s="38">
        <f t="shared" ref="K268:K271" si="59">SUM(F268:H268)</f>
        <v>2037.3937500000002</v>
      </c>
      <c r="L268" s="17" t="s">
        <v>199</v>
      </c>
      <c r="N268" s="17"/>
      <c r="O268" s="17" t="s">
        <v>201</v>
      </c>
      <c r="P268" s="17"/>
      <c r="Q268" s="30"/>
      <c r="R268" s="17"/>
      <c r="S268" s="42">
        <f>F310*IF(NOT(ISBLANK('Eingabe Preise'!$O21)),'Eingabe Preise'!$O21,'Eingabe Preise'!$M21)</f>
        <v>8528.0704127999998</v>
      </c>
      <c r="T268" s="20" t="s">
        <v>109</v>
      </c>
    </row>
    <row r="269" spans="2:20" ht="15.75" hidden="1" outlineLevel="1" x14ac:dyDescent="0.3">
      <c r="B269" s="302"/>
      <c r="C269" s="17"/>
      <c r="D269" s="17" t="s">
        <v>50</v>
      </c>
      <c r="E269" s="17"/>
      <c r="F269" s="38">
        <f>E238*IF(NOT(ISBLANK('Referenz Pflasterwerk'!$I37)),'Referenz Pflasterwerk'!$I37,'Referenz Pflasterwerk'!$F37)*IF(NOT(ISBLANK('Eingabe EF'!$AS22)),'Eingabe EF'!$AS22,'Eingabe EF'!$AQ22)*IF(NOT(ISBLANK('Referenz Pflasterwerk'!$I$12)),'Referenz Pflasterwerk'!$I$12,'Referenz Pflasterwerk'!$F$12)</f>
        <v>0</v>
      </c>
      <c r="G269" s="38">
        <f>E238*IF(NOT(ISBLANK('Referenz Pflasterwerk'!$I37)),'Referenz Pflasterwerk'!$I37,'Referenz Pflasterwerk'!$F37)*IF(NOT(ISBLANK('Eingabe EF'!$AW22)),'Eingabe EF'!$AW22,'Eingabe EF'!$AU22)*IF(NOT(ISBLANK('Referenz Pflasterwerk'!$I$12)),'Referenz Pflasterwerk'!$I$12,'Referenz Pflasterwerk'!$F$12)</f>
        <v>0</v>
      </c>
      <c r="H269" s="38">
        <f>E238*IF(NOT(ISBLANK('Referenz Pflasterwerk'!$I37)),'Referenz Pflasterwerk'!$I37,'Referenz Pflasterwerk'!$F37)*IF(NOT(ISBLANK('Eingabe EF'!$BA22)),'Eingabe EF'!$BA22,'Eingabe EF'!$AY22)*IF(NOT(ISBLANK('Referenz Pflasterwerk'!$I$12)),'Referenz Pflasterwerk'!$I$12,'Referenz Pflasterwerk'!$F$12)</f>
        <v>4743.9105</v>
      </c>
      <c r="I269" s="17"/>
      <c r="J269" s="38">
        <f t="shared" si="57"/>
        <v>0</v>
      </c>
      <c r="K269" s="38">
        <f t="shared" si="59"/>
        <v>4743.9105</v>
      </c>
      <c r="L269" s="17" t="s">
        <v>199</v>
      </c>
      <c r="N269" s="17"/>
      <c r="O269" s="17" t="s">
        <v>202</v>
      </c>
      <c r="P269" s="17"/>
      <c r="Q269" s="30"/>
      <c r="R269" s="17"/>
      <c r="S269" s="42">
        <f>G310*IF(NOT(ISBLANK('Eingabe Preise'!$O22)),'Eingabe Preise'!$O22,'Eingabe Preise'!$M22)</f>
        <v>8207.0073128147415</v>
      </c>
      <c r="T269" s="20" t="s">
        <v>109</v>
      </c>
    </row>
    <row r="270" spans="2:20" ht="15.75" hidden="1" outlineLevel="1" x14ac:dyDescent="0.3">
      <c r="B270" s="302"/>
      <c r="C270" s="17"/>
      <c r="D270" s="17" t="s">
        <v>51</v>
      </c>
      <c r="E270" s="17"/>
      <c r="F270" s="38">
        <f>E239*IF(NOT(ISBLANK('Referenz Pflasterwerk'!$I38)),'Referenz Pflasterwerk'!$I38,'Referenz Pflasterwerk'!$F38)*IF(NOT(ISBLANK('Eingabe EF'!$AS23)),'Eingabe EF'!$AS23,'Eingabe EF'!$AQ23)*IF(NOT(ISBLANK('Referenz Pflasterwerk'!$I$12)),'Referenz Pflasterwerk'!$I$12,'Referenz Pflasterwerk'!$F$12)</f>
        <v>0</v>
      </c>
      <c r="G270" s="38">
        <f>E239*IF(NOT(ISBLANK('Referenz Pflasterwerk'!$I38)),'Referenz Pflasterwerk'!$I38,'Referenz Pflasterwerk'!$F38)*IF(NOT(ISBLANK('Eingabe EF'!$AW23)),'Eingabe EF'!$AW23,'Eingabe EF'!$AU23)*IF(NOT(ISBLANK('Referenz Pflasterwerk'!$I$12)),'Referenz Pflasterwerk'!$I$12,'Referenz Pflasterwerk'!$F$12)</f>
        <v>0</v>
      </c>
      <c r="H270" s="38">
        <f>E239*IF(NOT(ISBLANK('Referenz Pflasterwerk'!$I38)),'Referenz Pflasterwerk'!$I38,'Referenz Pflasterwerk'!$F38)*IF(NOT(ISBLANK('Eingabe EF'!$BA23)),'Eingabe EF'!$BA23,'Eingabe EF'!$AY23)*IF(NOT(ISBLANK('Referenz Pflasterwerk'!$I$12)),'Referenz Pflasterwerk'!$I$12,'Referenz Pflasterwerk'!$F$12)</f>
        <v>517.77374999999995</v>
      </c>
      <c r="I270" s="17"/>
      <c r="J270" s="38">
        <f t="shared" si="57"/>
        <v>0</v>
      </c>
      <c r="K270" s="38">
        <f t="shared" si="59"/>
        <v>517.77374999999995</v>
      </c>
      <c r="L270" s="17" t="s">
        <v>199</v>
      </c>
      <c r="N270" s="17"/>
      <c r="O270" s="17" t="s">
        <v>203</v>
      </c>
      <c r="P270" s="17"/>
      <c r="Q270" s="30"/>
      <c r="R270" s="17"/>
      <c r="S270" s="42">
        <f>H310*IF(NOT(ISBLANK('Eingabe Preise'!$O23)),'Eingabe Preise'!$O23,'Eingabe Preise'!$M23)</f>
        <v>809031.19832663564</v>
      </c>
      <c r="T270" s="20" t="s">
        <v>109</v>
      </c>
    </row>
    <row r="271" spans="2:20" ht="15.75" hidden="1" outlineLevel="1" x14ac:dyDescent="0.3">
      <c r="B271" s="302"/>
      <c r="C271" s="17"/>
      <c r="D271" s="17" t="s">
        <v>163</v>
      </c>
      <c r="E271" s="17"/>
      <c r="F271" s="38">
        <f>E240*IF(NOT(ISBLANK('Referenz Pflasterwerk'!$I39)),'Referenz Pflasterwerk'!$I39,'Referenz Pflasterwerk'!$F39)*IF(NOT(ISBLANK('Eingabe EF'!$AS24)),'Eingabe EF'!$AS24,0)*IF(NOT(ISBLANK('Referenz Pflasterwerk'!$I$12)),'Referenz Pflasterwerk'!$I$12,'Referenz Pflasterwerk'!$F$12)</f>
        <v>0</v>
      </c>
      <c r="G271" s="38">
        <f>E240*IF(NOT(ISBLANK('Referenz Pflasterwerk'!$I39)),'Referenz Pflasterwerk'!$I39,'Referenz Pflasterwerk'!$F39)*IF(NOT(ISBLANK('Eingabe EF'!$AW24)),'Eingabe EF'!$AW24,0)*IF(NOT(ISBLANK('Referenz Pflasterwerk'!$I$12)),'Referenz Pflasterwerk'!$I$12,'Referenz Pflasterwerk'!$F$12)</f>
        <v>0</v>
      </c>
      <c r="H271" s="38">
        <f>E240*IF(NOT(ISBLANK('Referenz Pflasterwerk'!$I39)),'Referenz Pflasterwerk'!$I39,'Referenz Pflasterwerk'!$F39)*IF(NOT(ISBLANK('Eingabe EF'!$BA24)),'Eingabe EF'!$BA24,0)*IF(NOT(ISBLANK('Referenz Pflasterwerk'!$I$12)),'Referenz Pflasterwerk'!$I$12,'Referenz Pflasterwerk'!$F$12)</f>
        <v>0</v>
      </c>
      <c r="I271" s="17"/>
      <c r="J271" s="38">
        <f t="shared" si="57"/>
        <v>0</v>
      </c>
      <c r="K271" s="38">
        <f t="shared" si="59"/>
        <v>0</v>
      </c>
      <c r="L271" s="17" t="s">
        <v>199</v>
      </c>
      <c r="N271" s="17"/>
      <c r="O271" s="17"/>
      <c r="P271" s="17"/>
      <c r="Q271" s="17"/>
      <c r="R271" s="17"/>
      <c r="S271" s="17"/>
      <c r="T271" s="17"/>
    </row>
    <row r="272" spans="2:20" hidden="1" outlineLevel="1" x14ac:dyDescent="0.2">
      <c r="B272" s="17"/>
      <c r="C272" s="17"/>
      <c r="D272" s="17"/>
      <c r="E272" s="17"/>
      <c r="F272" s="17"/>
      <c r="G272" s="17"/>
      <c r="H272" s="17"/>
      <c r="I272" s="17"/>
      <c r="J272" s="20"/>
      <c r="K272" s="20"/>
      <c r="L272" s="17"/>
      <c r="N272" s="17"/>
      <c r="O272" s="17"/>
      <c r="P272" s="17"/>
      <c r="Q272" s="17"/>
      <c r="R272" s="17"/>
      <c r="S272" s="17"/>
      <c r="T272" s="17"/>
    </row>
    <row r="273" spans="2:20" ht="14.25" hidden="1" outlineLevel="1" x14ac:dyDescent="0.25">
      <c r="B273" s="69"/>
      <c r="C273" s="69" t="s">
        <v>178</v>
      </c>
      <c r="D273" s="70"/>
      <c r="E273" s="70"/>
      <c r="F273" s="71">
        <f>SUM(F274:F276)</f>
        <v>0</v>
      </c>
      <c r="G273" s="71">
        <f t="shared" ref="G273:H273" si="60">SUM(G274:G276)</f>
        <v>0</v>
      </c>
      <c r="H273" s="71">
        <f t="shared" si="60"/>
        <v>387.03000000000003</v>
      </c>
      <c r="I273" s="70"/>
      <c r="J273" s="71">
        <f t="shared" ref="J273" si="61">F273+G273</f>
        <v>0</v>
      </c>
      <c r="K273" s="71">
        <f t="shared" ref="K273" si="62">SUM(F273:H273)</f>
        <v>387.03000000000003</v>
      </c>
      <c r="L273" s="76" t="s">
        <v>198</v>
      </c>
      <c r="N273" s="17"/>
      <c r="O273" s="17"/>
      <c r="P273" s="17"/>
      <c r="Q273" s="18"/>
      <c r="R273" s="17"/>
      <c r="S273" s="18"/>
      <c r="T273" s="18"/>
    </row>
    <row r="274" spans="2:20" ht="15.75" hidden="1" outlineLevel="1" x14ac:dyDescent="0.3">
      <c r="B274" s="17"/>
      <c r="C274" s="17"/>
      <c r="D274" s="17" t="s">
        <v>179</v>
      </c>
      <c r="E274" s="17"/>
      <c r="F274" s="38">
        <f>IF(NOT(ISBLANK('Referenz Pflasterwerk'!$I42)),'Referenz Pflasterwerk'!$I42,'Referenz Pflasterwerk'!$F42)*IF(NOT(ISBLANK('Eingabe EF'!$AS27)),'Eingabe EF'!$AS27,'Eingabe EF'!$AQ27)*IF(NOT(ISBLANK('Referenz Pflasterwerk'!$I$12)),'Referenz Pflasterwerk'!$I$12,'Referenz Pflasterwerk'!$F$12)</f>
        <v>0</v>
      </c>
      <c r="G274" s="38">
        <f>IF(NOT(ISBLANK('Referenz Pflasterwerk'!$I42)),'Referenz Pflasterwerk'!$I42,'Referenz Pflasterwerk'!$F42)*IF(NOT(ISBLANK('Eingabe EF'!$AW27)),'Eingabe EF'!$AW27,'Eingabe EF'!$AU27)*IF(NOT(ISBLANK('Referenz Pflasterwerk'!$I$12)),'Referenz Pflasterwerk'!$I$12,'Referenz Pflasterwerk'!$F$12)</f>
        <v>0</v>
      </c>
      <c r="H274" s="38">
        <f>IF(NOT(ISBLANK('Referenz Pflasterwerk'!$I42)),'Referenz Pflasterwerk'!$I42,'Referenz Pflasterwerk'!$F42)*IF(NOT(ISBLANK('Eingabe EF'!$BA27)),'Eingabe EF'!$BA27,'Eingabe EF'!$AY27)*IF(NOT(ISBLANK('Referenz Pflasterwerk'!$I$12)),'Referenz Pflasterwerk'!$I$12,'Referenz Pflasterwerk'!$F$12)</f>
        <v>387.03000000000003</v>
      </c>
      <c r="I274" s="17"/>
      <c r="J274" s="38">
        <f>F274+G274</f>
        <v>0</v>
      </c>
      <c r="K274" s="38">
        <f>SUM(F274:H274)</f>
        <v>387.03000000000003</v>
      </c>
      <c r="L274" s="17" t="s">
        <v>199</v>
      </c>
      <c r="N274" s="21" t="s">
        <v>224</v>
      </c>
      <c r="O274" s="17"/>
      <c r="P274" s="17"/>
      <c r="Q274" s="17"/>
      <c r="R274" s="17"/>
      <c r="S274" s="17"/>
      <c r="T274" s="17"/>
    </row>
    <row r="275" spans="2:20" ht="15.75" hidden="1" outlineLevel="1" x14ac:dyDescent="0.3">
      <c r="B275" s="17"/>
      <c r="C275" s="17"/>
      <c r="D275" s="17" t="s">
        <v>180</v>
      </c>
      <c r="E275" s="17"/>
      <c r="F275" s="38">
        <f>IF(NOT(ISBLANK('Referenz Pflasterwerk'!$I43)),'Referenz Pflasterwerk'!$I43,'Referenz Pflasterwerk'!$F43)*IF(NOT(ISBLANK('Eingabe EF'!$AS28)),'Eingabe EF'!$AS28,0)*IF(NOT(ISBLANK('Referenz Pflasterwerk'!$I$12)),'Referenz Pflasterwerk'!$I$12,'Referenz Pflasterwerk'!$F$12)</f>
        <v>0</v>
      </c>
      <c r="G275" s="38">
        <f>IF(NOT(ISBLANK('Referenz Pflasterwerk'!$I43)),'Referenz Pflasterwerk'!$I43,'Referenz Pflasterwerk'!$F43)*IF(NOT(ISBLANK('Eingabe EF'!$AW28)),'Eingabe EF'!$AW28,0)*IF(NOT(ISBLANK('Referenz Pflasterwerk'!$I$12)),'Referenz Pflasterwerk'!$I$12,'Referenz Pflasterwerk'!$F$12)</f>
        <v>0</v>
      </c>
      <c r="H275" s="38">
        <f>IF(NOT(ISBLANK('Referenz Pflasterwerk'!$I43)),'Referenz Pflasterwerk'!$I43,'Referenz Pflasterwerk'!$F43)*IF(NOT(ISBLANK('Eingabe EF'!$BA28)),'Eingabe EF'!$BA28,0)*IF(NOT(ISBLANK('Referenz Pflasterwerk'!$I$12)),'Referenz Pflasterwerk'!$I$12,'Referenz Pflasterwerk'!$F$12)</f>
        <v>0</v>
      </c>
      <c r="I275" s="17"/>
      <c r="J275" s="38">
        <f>F275+G275</f>
        <v>0</v>
      </c>
      <c r="K275" s="38">
        <f t="shared" ref="K275:K276" si="63">SUM(F275:H275)</f>
        <v>0</v>
      </c>
      <c r="L275" s="17" t="s">
        <v>199</v>
      </c>
      <c r="N275" s="17"/>
      <c r="O275" s="17" t="s">
        <v>225</v>
      </c>
      <c r="P275" s="17"/>
      <c r="Q275" s="18"/>
      <c r="R275" s="17"/>
      <c r="S275" s="42">
        <f>IF(IF(NOT(ISBLANK($G$38)),$G$38,$E$38)&gt;5,S185,0)</f>
        <v>0</v>
      </c>
      <c r="T275" s="20" t="s">
        <v>109</v>
      </c>
    </row>
    <row r="276" spans="2:20" ht="15.75" hidden="1" outlineLevel="1" x14ac:dyDescent="0.3">
      <c r="B276" s="17"/>
      <c r="C276" s="17"/>
      <c r="D276" s="17" t="s">
        <v>181</v>
      </c>
      <c r="E276" s="17"/>
      <c r="F276" s="38">
        <f>IF(NOT(ISBLANK('Referenz Pflasterwerk'!$I44)),'Referenz Pflasterwerk'!$I44,'Referenz Pflasterwerk'!$F44)*IF(NOT(ISBLANK('Eingabe EF'!$AS29)),'Eingabe EF'!$AS29,0)*IF(NOT(ISBLANK('Referenz Pflasterwerk'!$I$12)),'Referenz Pflasterwerk'!$I$12,'Referenz Pflasterwerk'!$F$12)</f>
        <v>0</v>
      </c>
      <c r="G276" s="38">
        <f>IF(NOT(ISBLANK('Referenz Pflasterwerk'!$I44)),'Referenz Pflasterwerk'!$I44,'Referenz Pflasterwerk'!$F44)*IF(NOT(ISBLANK('Eingabe EF'!$AW29)),'Eingabe EF'!$AW29,0)*IF(NOT(ISBLANK('Referenz Pflasterwerk'!$I$12)),'Referenz Pflasterwerk'!$I$12,'Referenz Pflasterwerk'!$F$12)</f>
        <v>0</v>
      </c>
      <c r="H276" s="38">
        <f>IF(NOT(ISBLANK('Referenz Pflasterwerk'!$I44)),'Referenz Pflasterwerk'!$I44,'Referenz Pflasterwerk'!$F44)*IF(NOT(ISBLANK('Eingabe EF'!$BA29)),'Eingabe EF'!$BA29,0)*IF(NOT(ISBLANK('Referenz Pflasterwerk'!$I$12)),'Referenz Pflasterwerk'!$I$12,'Referenz Pflasterwerk'!$F$12)</f>
        <v>0</v>
      </c>
      <c r="I276" s="17"/>
      <c r="J276" s="38">
        <f t="shared" ref="J276" si="64">F276+G276</f>
        <v>0</v>
      </c>
      <c r="K276" s="38">
        <f t="shared" si="63"/>
        <v>0</v>
      </c>
      <c r="L276" s="17" t="s">
        <v>199</v>
      </c>
      <c r="N276" s="17"/>
      <c r="O276" s="17" t="s">
        <v>226</v>
      </c>
      <c r="P276" s="17"/>
      <c r="Q276" s="17"/>
      <c r="R276" s="17"/>
      <c r="S276" s="42">
        <f>IF(NOT(ISBLANK($K$33)),$K$33,$I$33)/IF(NOT(ISBLANK($K$38)),$K$38,$I$38)+IF(NOT(ISBLANK($K$33)),$K$33,$I$33)*(IF(NOT(ISBLANK($K$39)),$K$39,$I$39)/100)</f>
        <v>0</v>
      </c>
      <c r="T276" s="20" t="s">
        <v>109</v>
      </c>
    </row>
    <row r="277" spans="2:20" hidden="1" outlineLevel="1" x14ac:dyDescent="0.2">
      <c r="B277" s="17"/>
      <c r="C277" s="17"/>
      <c r="D277" s="17"/>
      <c r="E277" s="17"/>
      <c r="F277" s="17"/>
      <c r="G277" s="17"/>
      <c r="H277" s="17"/>
      <c r="I277" s="17"/>
      <c r="J277" s="20"/>
      <c r="K277" s="20"/>
      <c r="L277" s="17"/>
      <c r="N277" s="17"/>
      <c r="O277" s="17"/>
      <c r="P277" s="17"/>
      <c r="Q277" s="18"/>
      <c r="R277" s="17"/>
      <c r="S277" s="18"/>
      <c r="T277" s="18"/>
    </row>
    <row r="278" spans="2:20" ht="14.25" hidden="1" outlineLevel="1" x14ac:dyDescent="0.25">
      <c r="B278" s="17"/>
      <c r="C278" s="17"/>
      <c r="D278" s="21" t="s">
        <v>58</v>
      </c>
      <c r="E278" s="21"/>
      <c r="F278" s="74">
        <f>IF(NOT(ISBLANK('Referenz Pflasterwerk'!$I46)),'Referenz Pflasterwerk'!$I46,'Referenz Pflasterwerk'!$F46)*IF(NOT(ISBLANK('Eingabe EF'!$AS31)),'Eingabe EF'!$AS31,'Eingabe EF'!$AQ31)*IF(NOT(ISBLANK('Referenz Pflasterwerk'!$I$12)),'Referenz Pflasterwerk'!$I$12,'Referenz Pflasterwerk'!$F$12)</f>
        <v>0</v>
      </c>
      <c r="G278" s="74">
        <f>IF(NOT(ISBLANK('Referenz Pflasterwerk'!$I46)),'Referenz Pflasterwerk'!$I46,'Referenz Pflasterwerk'!$F46)*IF(NOT(ISBLANK('Eingabe EF'!$AW31)),'Eingabe EF'!$AW31,'Eingabe EF'!$AU31)*IF(NOT(ISBLANK('Referenz Pflasterwerk'!$I$12)),'Referenz Pflasterwerk'!$I$12,'Referenz Pflasterwerk'!$F$12)</f>
        <v>0</v>
      </c>
      <c r="H278" s="74">
        <f>IF(NOT(ISBLANK('Referenz Pflasterwerk'!$I46)),'Referenz Pflasterwerk'!$I46,'Referenz Pflasterwerk'!$F46)*IF(NOT(ISBLANK('Eingabe EF'!$BA31)),'Eingabe EF'!$BA31,'Eingabe EF'!$AY31)*IF(NOT(ISBLANK('Referenz Pflasterwerk'!$I$12)),'Referenz Pflasterwerk'!$I$12,'Referenz Pflasterwerk'!$F$12)</f>
        <v>1040</v>
      </c>
      <c r="I278" s="21"/>
      <c r="J278" s="74">
        <f>F278+G278</f>
        <v>0</v>
      </c>
      <c r="K278" s="74">
        <f t="shared" ref="K278" si="65">SUM(F278:H278)</f>
        <v>1040</v>
      </c>
      <c r="L278" s="21" t="s">
        <v>198</v>
      </c>
      <c r="N278" s="17"/>
      <c r="O278" s="17" t="s">
        <v>228</v>
      </c>
      <c r="P278" s="17"/>
      <c r="Q278" s="17"/>
      <c r="R278" s="17"/>
      <c r="S278" s="42">
        <f>IF(IF(NOT(ISBLANK($G$38)),$G$38,$E$38)&gt;5,S187,0)</f>
        <v>0</v>
      </c>
      <c r="T278" s="20" t="s">
        <v>109</v>
      </c>
    </row>
    <row r="279" spans="2:20" hidden="1" outlineLevel="1" x14ac:dyDescent="0.2">
      <c r="B279" s="17"/>
      <c r="C279" s="17"/>
      <c r="D279" s="17"/>
      <c r="E279" s="17"/>
      <c r="F279" s="17"/>
      <c r="G279" s="17"/>
      <c r="H279" s="17"/>
      <c r="I279" s="17"/>
      <c r="J279" s="20"/>
      <c r="K279" s="20"/>
      <c r="L279" s="17"/>
      <c r="N279" s="17"/>
      <c r="O279" s="17" t="s">
        <v>229</v>
      </c>
      <c r="P279" s="17"/>
      <c r="Q279" s="18"/>
      <c r="R279" s="17"/>
      <c r="S279" s="42">
        <f>IF(NOT(ISBLANK($K$35)),$K$35,$I$35)/IF(NOT(ISBLANK($K$38)),$K$38,$I$38)+IF(NOT(ISBLANK($K$35)),$K$35,$I$35)*(IF(NOT(ISBLANK($K$39)),$K$39,$I$39)/100)</f>
        <v>0</v>
      </c>
      <c r="T279" s="20" t="s">
        <v>109</v>
      </c>
    </row>
    <row r="280" spans="2:20" ht="14.25" hidden="1" outlineLevel="1" x14ac:dyDescent="0.25">
      <c r="B280" s="69"/>
      <c r="C280" s="69" t="s">
        <v>182</v>
      </c>
      <c r="D280" s="70"/>
      <c r="E280" s="70"/>
      <c r="F280" s="71">
        <f>SUM(F281:F283)</f>
        <v>0</v>
      </c>
      <c r="G280" s="71">
        <f t="shared" ref="G280:H280" si="66">SUM(G281:G283)</f>
        <v>0</v>
      </c>
      <c r="H280" s="71">
        <f t="shared" si="66"/>
        <v>427.59</v>
      </c>
      <c r="I280" s="70"/>
      <c r="J280" s="71">
        <f t="shared" ref="J280" si="67">F280+G280</f>
        <v>0</v>
      </c>
      <c r="K280" s="71">
        <f t="shared" ref="K280" si="68">SUM(F280:H280)</f>
        <v>427.59</v>
      </c>
      <c r="L280" s="76" t="s">
        <v>198</v>
      </c>
      <c r="N280" s="17"/>
      <c r="O280" s="17"/>
      <c r="P280" s="17"/>
      <c r="Q280" s="18"/>
      <c r="R280" s="17"/>
      <c r="S280" s="18"/>
      <c r="T280" s="18"/>
    </row>
    <row r="281" spans="2:20" ht="15.75" hidden="1" outlineLevel="1" x14ac:dyDescent="0.3">
      <c r="B281" s="302"/>
      <c r="C281" s="17"/>
      <c r="D281" s="17" t="s">
        <v>60</v>
      </c>
      <c r="E281" s="17"/>
      <c r="F281" s="38">
        <f>IF(NOT(ISBLANK('Referenz Pflasterwerk'!$I49)),'Referenz Pflasterwerk'!$I49,'Referenz Pflasterwerk'!$F49)*IF(NOT(ISBLANK('Eingabe EF'!$AS34)),'Eingabe EF'!$AS34,'Eingabe EF'!$AQ34)*IF(NOT(ISBLANK('Referenz Pflasterwerk'!$I$12)),'Referenz Pflasterwerk'!$I$12,'Referenz Pflasterwerk'!$F$12)</f>
        <v>0</v>
      </c>
      <c r="G281" s="38">
        <f>IF(NOT(ISBLANK('Referenz Pflasterwerk'!$I49)),'Referenz Pflasterwerk'!$I49,'Referenz Pflasterwerk'!$F49)*IF(NOT(ISBLANK('Eingabe EF'!$AW34)),'Eingabe EF'!$AW34,'Eingabe EF'!$AU34)*IF(NOT(ISBLANK('Referenz Pflasterwerk'!$I$12)),'Referenz Pflasterwerk'!$I$12,'Referenz Pflasterwerk'!$F$12)</f>
        <v>0</v>
      </c>
      <c r="H281" s="38">
        <f>$E$242*IF(NOT(ISBLANK('Referenz Pflasterwerk'!$I49)),'Referenz Pflasterwerk'!$I49,'Referenz Pflasterwerk'!$F49)*IF(NOT(ISBLANK('Eingabe EF'!$BA34)),'Eingabe EF'!$BA34,'Eingabe EF'!$AY34)*IF(NOT(ISBLANK('Referenz Pflasterwerk'!$I$12)),'Referenz Pflasterwerk'!$I$12,'Referenz Pflasterwerk'!$F$12)</f>
        <v>356.4</v>
      </c>
      <c r="I281" s="17"/>
      <c r="J281" s="38">
        <f>F281+G281</f>
        <v>0</v>
      </c>
      <c r="K281" s="38">
        <f>SUM(F281:H281)</f>
        <v>356.4</v>
      </c>
      <c r="L281" s="17" t="s">
        <v>199</v>
      </c>
      <c r="N281" s="17"/>
      <c r="O281" s="17"/>
      <c r="P281" s="17"/>
      <c r="Q281" s="17"/>
      <c r="R281" s="17"/>
      <c r="S281" s="17"/>
      <c r="T281" s="17"/>
    </row>
    <row r="282" spans="2:20" ht="15.75" hidden="1" outlineLevel="1" x14ac:dyDescent="0.3">
      <c r="B282" s="302"/>
      <c r="C282" s="17"/>
      <c r="D282" s="17" t="s">
        <v>61</v>
      </c>
      <c r="E282" s="17"/>
      <c r="F282" s="38">
        <f>E243*IF(NOT(ISBLANK('Referenz Pflasterwerk'!$I50)),'Referenz Pflasterwerk'!$I50,'Referenz Pflasterwerk'!$F50)*IF(NOT(ISBLANK('Eingabe EF'!$AS35)),'Eingabe EF'!$AS35,'Eingabe EF'!$AQ35)*IF(NOT(ISBLANK('Referenz Pflasterwerk'!$I$12)),'Referenz Pflasterwerk'!$I$12,'Referenz Pflasterwerk'!$F$12)</f>
        <v>0</v>
      </c>
      <c r="G282" s="38">
        <f>E243*IF(NOT(ISBLANK('Referenz Pflasterwerk'!$I50)),'Referenz Pflasterwerk'!$I50,'Referenz Pflasterwerk'!$F50)*IF(NOT(ISBLANK('Eingabe EF'!$AW35)),'Eingabe EF'!$AW35,'Eingabe EF'!$AU35)*IF(NOT(ISBLANK('Referenz Pflasterwerk'!$I$12)),'Referenz Pflasterwerk'!$I$12,'Referenz Pflasterwerk'!$F$12)</f>
        <v>0</v>
      </c>
      <c r="H282" s="38">
        <f>E243*IF(NOT(ISBLANK('Referenz Pflasterwerk'!$I50)),'Referenz Pflasterwerk'!$I50,'Referenz Pflasterwerk'!$F50)*IF(NOT(ISBLANK('Eingabe EF'!$BA35)),'Eingabe EF'!$BA35,'Eingabe EF'!$AY35)*IF(NOT(ISBLANK('Referenz Pflasterwerk'!$I$12)),'Referenz Pflasterwerk'!$I$12,'Referenz Pflasterwerk'!$F$12)</f>
        <v>0</v>
      </c>
      <c r="I282" s="17"/>
      <c r="J282" s="38">
        <f>F282+G282</f>
        <v>0</v>
      </c>
      <c r="K282" s="38">
        <f>SUM(F282:H282)</f>
        <v>0</v>
      </c>
      <c r="L282" s="17" t="s">
        <v>199</v>
      </c>
      <c r="N282" s="17"/>
      <c r="O282" s="17"/>
      <c r="P282" s="17"/>
      <c r="Q282" s="18"/>
      <c r="R282" s="17"/>
      <c r="S282" s="18"/>
      <c r="T282" s="18"/>
    </row>
    <row r="283" spans="2:20" ht="15.75" hidden="1" outlineLevel="1" x14ac:dyDescent="0.3">
      <c r="B283" s="302"/>
      <c r="C283" s="17"/>
      <c r="D283" s="17" t="s">
        <v>62</v>
      </c>
      <c r="E283" s="17"/>
      <c r="F283" s="38">
        <f>E244*IF(NOT(ISBLANK('Referenz Pflasterwerk'!$I51)),'Referenz Pflasterwerk'!$I51,'Referenz Pflasterwerk'!$F51)*IF(NOT(ISBLANK('Eingabe EF'!$AS36)),'Eingabe EF'!$AS36,'Eingabe EF'!$AQ36)*IF(NOT(ISBLANK('Referenz Pflasterwerk'!$I$12)),'Referenz Pflasterwerk'!$I$12,'Referenz Pflasterwerk'!$F$12)</f>
        <v>0</v>
      </c>
      <c r="G283" s="38">
        <f>E244*IF(NOT(ISBLANK('Referenz Pflasterwerk'!$I51)),'Referenz Pflasterwerk'!$I51,'Referenz Pflasterwerk'!$F51)*IF(NOT(ISBLANK('Eingabe EF'!$AW36)),'Eingabe EF'!$AW36,'Eingabe EF'!$AU36)*IF(NOT(ISBLANK('Referenz Pflasterwerk'!$I$12)),'Referenz Pflasterwerk'!$I$12,'Referenz Pflasterwerk'!$F$12)</f>
        <v>0</v>
      </c>
      <c r="H283" s="38">
        <f>E244*IF(NOT(ISBLANK('Referenz Pflasterwerk'!$I51)),'Referenz Pflasterwerk'!$I51,'Referenz Pflasterwerk'!$F51)*IF(NOT(ISBLANK('Eingabe EF'!$BA36)),'Eingabe EF'!$BA36,'Eingabe EF'!$AY36)*IF(NOT(ISBLANK('Referenz Pflasterwerk'!$I$12)),'Referenz Pflasterwerk'!$I$12,'Referenz Pflasterwerk'!$F$12)</f>
        <v>71.19</v>
      </c>
      <c r="I283" s="17"/>
      <c r="J283" s="38">
        <f>F283+G283</f>
        <v>0</v>
      </c>
      <c r="K283" s="38">
        <f>SUM(F283:H283)</f>
        <v>71.19</v>
      </c>
      <c r="L283" s="17" t="s">
        <v>199</v>
      </c>
    </row>
    <row r="284" spans="2:20" hidden="1" outlineLevel="1" x14ac:dyDescent="0.2">
      <c r="B284" s="17"/>
      <c r="C284" s="17"/>
      <c r="D284" s="17"/>
      <c r="E284" s="17"/>
      <c r="F284" s="17"/>
      <c r="G284" s="17"/>
      <c r="H284" s="17"/>
      <c r="I284" s="17"/>
      <c r="J284" s="17"/>
      <c r="K284" s="20"/>
      <c r="L284" s="20"/>
    </row>
    <row r="285" spans="2:20" ht="14.25" hidden="1" outlineLevel="1" x14ac:dyDescent="0.25">
      <c r="B285" s="69"/>
      <c r="C285" s="69" t="s">
        <v>52</v>
      </c>
      <c r="D285" s="70"/>
      <c r="E285" s="70"/>
      <c r="F285" s="71">
        <f>SUM(F286:F289)</f>
        <v>0</v>
      </c>
      <c r="G285" s="71">
        <f t="shared" ref="G285:H285" si="69">SUM(G286:G289)</f>
        <v>0</v>
      </c>
      <c r="H285" s="71">
        <f t="shared" si="69"/>
        <v>185.55932668689491</v>
      </c>
      <c r="I285" s="70"/>
      <c r="J285" s="71">
        <f t="shared" ref="J285:J289" si="70">F285+G285</f>
        <v>0</v>
      </c>
      <c r="K285" s="71">
        <f t="shared" ref="K285" si="71">SUM(F285:H285)</f>
        <v>185.55932668689491</v>
      </c>
      <c r="L285" s="76" t="s">
        <v>198</v>
      </c>
    </row>
    <row r="286" spans="2:20" ht="15.75" hidden="1" outlineLevel="1" x14ac:dyDescent="0.3">
      <c r="B286" s="17"/>
      <c r="C286" s="17"/>
      <c r="D286" s="17" t="s">
        <v>53</v>
      </c>
      <c r="E286" s="17"/>
      <c r="F286" s="38">
        <f>IF(NOT(ISBLANK('Referenz Pflasterwerk'!$I$53)),'Referenz Pflasterwerk'!$I$53,'Referenz Pflasterwerk'!$F$53)*IF(NOT(ISBLANK('Referenz Pflasterwerk'!$I54)),'Referenz Pflasterwerk'!$I54,'Referenz Pflasterwerk'!$F54)*IF(NOT(ISBLANK('Eingabe EF'!$AS39)),'Eingabe EF'!$AS39,'Eingabe EF'!$AQ39)*IF(NOT(ISBLANK('Referenz Pflasterwerk'!$I$12)),'Referenz Pflasterwerk'!$I$12,'Referenz Pflasterwerk'!$F$12)</f>
        <v>0</v>
      </c>
      <c r="G286" s="38">
        <f>IF(NOT(ISBLANK('Referenz Pflasterwerk'!$I$53)),'Referenz Pflasterwerk'!$I$53,'Referenz Pflasterwerk'!$F$53)*IF(NOT(ISBLANK('Referenz Pflasterwerk'!$I54)),'Referenz Pflasterwerk'!$I54,'Referenz Pflasterwerk'!$F54)*IF(NOT(ISBLANK('Eingabe EF'!$AW39)),'Eingabe EF'!$AW39,'Eingabe EF'!$AU39)*IF(NOT(ISBLANK('Referenz Pflasterwerk'!$I$12)),'Referenz Pflasterwerk'!$I$12,'Referenz Pflasterwerk'!$F$12)</f>
        <v>0</v>
      </c>
      <c r="H286" s="38">
        <f>IF(NOT(ISBLANK('Referenz Pflasterwerk'!$I$53)),'Referenz Pflasterwerk'!$I$53,'Referenz Pflasterwerk'!$F$53)*IF(NOT(ISBLANK('Referenz Pflasterwerk'!$I54)),'Referenz Pflasterwerk'!$I54,'Referenz Pflasterwerk'!$F54)*IF(NOT(ISBLANK('Eingabe EF'!$BA39)),'Eingabe EF'!$BA39,'Eingabe EF'!$AY39)*IF(NOT(ISBLANK('Referenz Pflasterwerk'!$I$12)),'Referenz Pflasterwerk'!$I$12,'Referenz Pflasterwerk'!$F$12)</f>
        <v>59.997399219765924</v>
      </c>
      <c r="I286" s="17"/>
      <c r="J286" s="38">
        <f t="shared" si="70"/>
        <v>0</v>
      </c>
      <c r="K286" s="38">
        <f t="shared" ref="K286:K289" si="72">SUM(F286:H286)</f>
        <v>59.997399219765924</v>
      </c>
      <c r="L286" s="17" t="s">
        <v>199</v>
      </c>
    </row>
    <row r="287" spans="2:20" ht="15.75" hidden="1" outlineLevel="1" x14ac:dyDescent="0.3">
      <c r="B287" s="17"/>
      <c r="C287" s="17"/>
      <c r="D287" s="17" t="s">
        <v>55</v>
      </c>
      <c r="E287" s="17"/>
      <c r="F287" s="38">
        <f>IF(NOT(ISBLANK('Referenz Pflasterwerk'!$I$53)),'Referenz Pflasterwerk'!$I$53,'Referenz Pflasterwerk'!$F$53)*IF(NOT(ISBLANK('Referenz Pflasterwerk'!$I55)),'Referenz Pflasterwerk'!$I55,'Referenz Pflasterwerk'!$F55)*IF(NOT(ISBLANK('Eingabe EF'!$AS40)),'Eingabe EF'!$AS40,'Eingabe EF'!$AQ40)*IF(NOT(ISBLANK('Referenz Pflasterwerk'!$I$12)),'Referenz Pflasterwerk'!$I$12,'Referenz Pflasterwerk'!$F$12)</f>
        <v>0</v>
      </c>
      <c r="G287" s="38">
        <f>IF(NOT(ISBLANK('Referenz Pflasterwerk'!$I$53)),'Referenz Pflasterwerk'!$I$53,'Referenz Pflasterwerk'!$F$53)*IF(NOT(ISBLANK('Referenz Pflasterwerk'!$I55)),'Referenz Pflasterwerk'!$I55,'Referenz Pflasterwerk'!$F55)*IF(NOT(ISBLANK('Eingabe EF'!$AW40)),'Eingabe EF'!$AW40,'Eingabe EF'!$AU40)*IF(NOT(ISBLANK('Referenz Pflasterwerk'!$I$12)),'Referenz Pflasterwerk'!$I$12,'Referenz Pflasterwerk'!$F$12)</f>
        <v>0</v>
      </c>
      <c r="H287" s="38">
        <f>IF(NOT(ISBLANK('Referenz Pflasterwerk'!$I$53)),'Referenz Pflasterwerk'!$I$53,'Referenz Pflasterwerk'!$F$53)*IF(NOT(ISBLANK('Referenz Pflasterwerk'!$I55)),'Referenz Pflasterwerk'!$I55,'Referenz Pflasterwerk'!$F55)*IF(NOT(ISBLANK('Eingabe EF'!$BA40)),'Eingabe EF'!$BA40,'Eingabe EF'!$AY40)*IF(NOT(ISBLANK('Referenz Pflasterwerk'!$I$12)),'Referenz Pflasterwerk'!$I$12,'Referenz Pflasterwerk'!$F$12)</f>
        <v>7.224692963444574</v>
      </c>
      <c r="I287" s="17"/>
      <c r="J287" s="38">
        <f t="shared" si="70"/>
        <v>0</v>
      </c>
      <c r="K287" s="38">
        <f t="shared" si="72"/>
        <v>7.224692963444574</v>
      </c>
      <c r="L287" s="17" t="s">
        <v>199</v>
      </c>
    </row>
    <row r="288" spans="2:20" ht="15.75" hidden="1" outlineLevel="1" x14ac:dyDescent="0.3">
      <c r="B288" s="17"/>
      <c r="C288" s="17"/>
      <c r="D288" s="17" t="s">
        <v>56</v>
      </c>
      <c r="E288" s="17"/>
      <c r="F288" s="38">
        <f>IF(NOT(ISBLANK('Referenz Pflasterwerk'!$I$53)),'Referenz Pflasterwerk'!$I$53,'Referenz Pflasterwerk'!$F$53)*IF(NOT(ISBLANK('Referenz Pflasterwerk'!$I56)),'Referenz Pflasterwerk'!$I56,'Referenz Pflasterwerk'!$F56)*IF(NOT(ISBLANK('Eingabe EF'!$AS41)),'Eingabe EF'!$AS41,'Eingabe EF'!$AQ41)*IF(NOT(ISBLANK('Referenz Pflasterwerk'!$I$12)),'Referenz Pflasterwerk'!$I$12,'Referenz Pflasterwerk'!$F$12)</f>
        <v>0</v>
      </c>
      <c r="G288" s="38">
        <f>IF(NOT(ISBLANK('Referenz Pflasterwerk'!$I$53)),'Referenz Pflasterwerk'!$I$53,'Referenz Pflasterwerk'!$F$53)*IF(NOT(ISBLANK('Referenz Pflasterwerk'!$I56)),'Referenz Pflasterwerk'!$I56,'Referenz Pflasterwerk'!$F56)*IF(NOT(ISBLANK('Eingabe EF'!$AW41)),'Eingabe EF'!$AW41,'Eingabe EF'!$AU41)*IF(NOT(ISBLANK('Referenz Pflasterwerk'!$I$12)),'Referenz Pflasterwerk'!$I$12,'Referenz Pflasterwerk'!$F$12)</f>
        <v>0</v>
      </c>
      <c r="H288" s="38">
        <f>IF(NOT(ISBLANK('Referenz Pflasterwerk'!$I$53)),'Referenz Pflasterwerk'!$I$53,'Referenz Pflasterwerk'!$F$53)*IF(NOT(ISBLANK('Referenz Pflasterwerk'!$I56)),'Referenz Pflasterwerk'!$I56,'Referenz Pflasterwerk'!$F56)*IF(NOT(ISBLANK('Eingabe EF'!$BA41)),'Eingabe EF'!$BA41,'Eingabe EF'!$AY41)*IF(NOT(ISBLANK('Referenz Pflasterwerk'!$I$12)),'Referenz Pflasterwerk'!$I$12,'Referenz Pflasterwerk'!$F$12)</f>
        <v>1.7771998266146515E-2</v>
      </c>
      <c r="I288" s="17"/>
      <c r="J288" s="38">
        <f t="shared" si="70"/>
        <v>0</v>
      </c>
      <c r="K288" s="38">
        <f t="shared" si="72"/>
        <v>1.7771998266146515E-2</v>
      </c>
      <c r="L288" s="17" t="s">
        <v>199</v>
      </c>
    </row>
    <row r="289" spans="2:12" ht="15.75" hidden="1" outlineLevel="1" x14ac:dyDescent="0.3">
      <c r="B289" s="17"/>
      <c r="C289" s="17"/>
      <c r="D289" s="17" t="s">
        <v>57</v>
      </c>
      <c r="E289" s="17"/>
      <c r="F289" s="38">
        <f>IF(NOT(ISBLANK('Referenz Pflasterwerk'!$I$53)),'Referenz Pflasterwerk'!$I$53,'Referenz Pflasterwerk'!$F$53)*IF(NOT(ISBLANK('Referenz Pflasterwerk'!$I57)),'Referenz Pflasterwerk'!$I57,'Referenz Pflasterwerk'!$F57)*IF(NOT(ISBLANK('Eingabe EF'!$AS42)),'Eingabe EF'!$AS42,'Eingabe EF'!$AQ42)*IF(NOT(ISBLANK('Referenz Pflasterwerk'!$I$12)),'Referenz Pflasterwerk'!$I$12,'Referenz Pflasterwerk'!$F$12)</f>
        <v>0</v>
      </c>
      <c r="G289" s="38">
        <f>IF(NOT(ISBLANK('Referenz Pflasterwerk'!$I$53)),'Referenz Pflasterwerk'!$I$53,'Referenz Pflasterwerk'!$F$53)*IF(NOT(ISBLANK('Referenz Pflasterwerk'!$I57)),'Referenz Pflasterwerk'!$I57,'Referenz Pflasterwerk'!$F57)*IF(NOT(ISBLANK('Eingabe EF'!$AW42)),'Eingabe EF'!$AW42,'Eingabe EF'!$AU42)*IF(NOT(ISBLANK('Referenz Pflasterwerk'!$I$12)),'Referenz Pflasterwerk'!$I$12,'Referenz Pflasterwerk'!$F$12)</f>
        <v>0</v>
      </c>
      <c r="H289" s="38">
        <f>IF(NOT(ISBLANK('Referenz Pflasterwerk'!$I$53)),'Referenz Pflasterwerk'!$I$53,'Referenz Pflasterwerk'!$F$53)*IF(NOT(ISBLANK('Referenz Pflasterwerk'!$I57)),'Referenz Pflasterwerk'!$I57,'Referenz Pflasterwerk'!$F57)*IF(NOT(ISBLANK('Eingabe EF'!$BA42)),'Eingabe EF'!$BA42,'Eingabe EF'!$AY42)*IF(NOT(ISBLANK('Referenz Pflasterwerk'!$I$12)),'Referenz Pflasterwerk'!$I$12,'Referenz Pflasterwerk'!$F$12)</f>
        <v>118.31946250541829</v>
      </c>
      <c r="I289" s="17"/>
      <c r="J289" s="38">
        <f t="shared" si="70"/>
        <v>0</v>
      </c>
      <c r="K289" s="38">
        <f t="shared" si="72"/>
        <v>118.31946250541829</v>
      </c>
      <c r="L289" s="17" t="s">
        <v>199</v>
      </c>
    </row>
    <row r="290" spans="2:12" hidden="1" outlineLevel="1" x14ac:dyDescent="0.2">
      <c r="B290" s="17"/>
      <c r="C290" s="17"/>
      <c r="D290" s="17"/>
      <c r="E290" s="17"/>
      <c r="F290" s="17"/>
      <c r="G290" s="17"/>
      <c r="H290" s="17"/>
      <c r="I290" s="17"/>
      <c r="J290" s="17"/>
      <c r="K290" s="17"/>
      <c r="L290" s="20"/>
    </row>
    <row r="291" spans="2:12" ht="14.25" hidden="1" outlineLevel="1" x14ac:dyDescent="0.25">
      <c r="B291" s="69"/>
      <c r="C291" s="69" t="s">
        <v>272</v>
      </c>
      <c r="D291" s="70"/>
      <c r="E291" s="70"/>
      <c r="F291" s="71">
        <f>SUM(F292:F293)</f>
        <v>0</v>
      </c>
      <c r="G291" s="71">
        <f t="shared" ref="G291" si="73">SUM(G292:G293)</f>
        <v>0</v>
      </c>
      <c r="H291" s="71">
        <f>SUM(H292:H293)</f>
        <v>0</v>
      </c>
      <c r="I291" s="70"/>
      <c r="J291" s="71">
        <f>F291+G291</f>
        <v>0</v>
      </c>
      <c r="K291" s="71">
        <f t="shared" ref="K291" si="74">SUM(F291:H291)</f>
        <v>0</v>
      </c>
      <c r="L291" s="76" t="s">
        <v>198</v>
      </c>
    </row>
    <row r="292" spans="2:12" ht="15.75" hidden="1" outlineLevel="1" x14ac:dyDescent="0.3">
      <c r="B292" s="302"/>
      <c r="C292" s="17"/>
      <c r="D292" s="17" t="s">
        <v>268</v>
      </c>
      <c r="E292" s="17"/>
      <c r="F292" s="38">
        <v>0</v>
      </c>
      <c r="G292" s="38">
        <v>0</v>
      </c>
      <c r="H292" s="38">
        <f>IF(NOT(ISBLANK(K26)),K26,I26)*IF(NOT(ISBLANK(K29)),K29,0)</f>
        <v>0</v>
      </c>
      <c r="I292" s="17"/>
      <c r="J292" s="38">
        <f t="shared" ref="J292:J293" si="75">F292+G292</f>
        <v>0</v>
      </c>
      <c r="K292" s="38">
        <f t="shared" ref="K292:K293" si="76">SUM(F292:H292)</f>
        <v>0</v>
      </c>
      <c r="L292" s="17" t="s">
        <v>199</v>
      </c>
    </row>
    <row r="293" spans="2:12" ht="15.75" hidden="1" outlineLevel="1" x14ac:dyDescent="0.3">
      <c r="B293" s="302"/>
      <c r="C293" s="17"/>
      <c r="D293" s="17" t="s">
        <v>269</v>
      </c>
      <c r="E293" s="17"/>
      <c r="F293" s="38">
        <v>0</v>
      </c>
      <c r="G293" s="38">
        <v>0</v>
      </c>
      <c r="H293" s="38">
        <f>IF(NOT(ISBLANK(K27)),K27,I27)*IF(NOT(ISBLANK(K30)),K30,0)</f>
        <v>0</v>
      </c>
      <c r="I293" s="17"/>
      <c r="J293" s="38">
        <f t="shared" si="75"/>
        <v>0</v>
      </c>
      <c r="K293" s="38">
        <f t="shared" si="76"/>
        <v>0</v>
      </c>
      <c r="L293" s="17" t="s">
        <v>199</v>
      </c>
    </row>
    <row r="294" spans="2:12" hidden="1" outlineLevel="1" x14ac:dyDescent="0.2">
      <c r="B294" s="17"/>
      <c r="C294" s="17"/>
      <c r="D294" s="17"/>
      <c r="E294" s="17"/>
      <c r="F294" s="17"/>
      <c r="G294" s="17"/>
      <c r="H294" s="17"/>
      <c r="I294" s="17"/>
      <c r="J294" s="17"/>
      <c r="K294" s="17"/>
      <c r="L294" s="20"/>
    </row>
    <row r="295" spans="2:12" ht="14.25" hidden="1" outlineLevel="1" x14ac:dyDescent="0.25">
      <c r="B295" s="17"/>
      <c r="C295" s="17"/>
      <c r="D295" s="21" t="s">
        <v>113</v>
      </c>
      <c r="E295" s="21"/>
      <c r="F295" s="74">
        <f>IF(NOT(ISBLANK('Referenz Pflasterwerk'!$I59)),'Referenz Pflasterwerk'!$I59,'Referenz Pflasterwerk'!$F59)*IF(NOT(ISBLANK('Eingabe EF'!$AS44)),'Eingabe EF'!$AS44,0)*IF(NOT(ISBLANK('Referenz Pflasterwerk'!$I$12)),'Referenz Pflasterwerk'!$I$12,'Referenz Pflasterwerk'!$F$12)</f>
        <v>0</v>
      </c>
      <c r="G295" s="74">
        <f>IF(NOT(ISBLANK('Referenz Pflasterwerk'!$I59)),'Referenz Pflasterwerk'!$I59,'Referenz Pflasterwerk'!$F59)*IF(NOT(ISBLANK('Eingabe EF'!$AW44)),'Eingabe EF'!$AW44,0)*IF(NOT(ISBLANK('Referenz Pflasterwerk'!$I$12)),'Referenz Pflasterwerk'!$I$12,'Referenz Pflasterwerk'!$F$12)</f>
        <v>0</v>
      </c>
      <c r="H295" s="74">
        <f>IF(NOT(ISBLANK('Referenz Pflasterwerk'!$I59)),'Referenz Pflasterwerk'!$I59,'Referenz Pflasterwerk'!$F59)*IF(NOT(ISBLANK('Eingabe EF'!$BA44)),'Eingabe EF'!$BA44,0)*IF(NOT(ISBLANK('Referenz Pflasterwerk'!$I$12)),'Referenz Pflasterwerk'!$I$12,'Referenz Pflasterwerk'!$F$12)</f>
        <v>0</v>
      </c>
      <c r="I295" s="21"/>
      <c r="J295" s="74">
        <f>F295+G295</f>
        <v>0</v>
      </c>
      <c r="K295" s="74">
        <f>SUM(F295:H295)</f>
        <v>0</v>
      </c>
      <c r="L295" s="21" t="s">
        <v>198</v>
      </c>
    </row>
    <row r="296" spans="2:12" ht="14.25" hidden="1" outlineLevel="1" x14ac:dyDescent="0.25">
      <c r="B296" s="17"/>
      <c r="C296" s="17"/>
      <c r="D296" s="21" t="s">
        <v>65</v>
      </c>
      <c r="E296" s="21"/>
      <c r="F296" s="75">
        <f>IF(NOT(ISBLANK('Referenz Pflasterwerk'!$I60)),'Referenz Pflasterwerk'!$I60,'Referenz Pflasterwerk'!$F60)*IF(NOT(ISBLANK('Eingabe EF'!$AS45)),'Eingabe EF'!$AS45,'Eingabe EF'!$AQ45)</f>
        <v>0</v>
      </c>
      <c r="G296" s="75">
        <f>IF(NOT(ISBLANK('Referenz Pflasterwerk'!$I60)),'Referenz Pflasterwerk'!$I60,'Referenz Pflasterwerk'!$F60)*IF(NOT(ISBLANK('Eingabe EF'!$AW45)),'Eingabe EF'!$AW45,'Eingabe EF'!$AU45)</f>
        <v>0</v>
      </c>
      <c r="H296" s="75">
        <f>IF(NOT(ISBLANK('Referenz Pflasterwerk'!$I60)),'Referenz Pflasterwerk'!$I60,'Referenz Pflasterwerk'!$F60)*IF(NOT(ISBLANK('Eingabe EF'!$BA45)),'Eingabe EF'!$BA45,'Eingabe EF'!$AY45)</f>
        <v>5.4399999999999997E-2</v>
      </c>
      <c r="I296" s="21"/>
      <c r="J296" s="74">
        <f>F296+G296</f>
        <v>0</v>
      </c>
      <c r="K296" s="74">
        <f>SUM(F296:H296)</f>
        <v>5.4399999999999997E-2</v>
      </c>
      <c r="L296" s="21" t="s">
        <v>198</v>
      </c>
    </row>
    <row r="297" spans="2:12" hidden="1" outlineLevel="1" x14ac:dyDescent="0.2">
      <c r="B297" s="17"/>
      <c r="C297" s="17"/>
      <c r="D297" s="17"/>
      <c r="E297" s="17"/>
      <c r="F297" s="17"/>
      <c r="G297" s="17"/>
      <c r="H297" s="17"/>
      <c r="I297" s="17"/>
      <c r="J297" s="17"/>
      <c r="K297" s="17"/>
      <c r="L297" s="20"/>
    </row>
    <row r="298" spans="2:12" ht="14.25" hidden="1" outlineLevel="1" x14ac:dyDescent="0.25">
      <c r="B298" s="69"/>
      <c r="C298" s="69" t="s">
        <v>183</v>
      </c>
      <c r="D298" s="70"/>
      <c r="E298" s="70"/>
      <c r="F298" s="71">
        <f>SUM(F299:F301)</f>
        <v>0</v>
      </c>
      <c r="G298" s="71">
        <f t="shared" ref="G298:H298" si="77">SUM(G299:G301)</f>
        <v>0</v>
      </c>
      <c r="H298" s="71">
        <f t="shared" si="77"/>
        <v>0</v>
      </c>
      <c r="I298" s="70"/>
      <c r="J298" s="71">
        <f t="shared" ref="J298" si="78">F298+G298</f>
        <v>0</v>
      </c>
      <c r="K298" s="71">
        <f t="shared" ref="K298" si="79">SUM(F298:H298)</f>
        <v>0</v>
      </c>
      <c r="L298" s="76" t="s">
        <v>198</v>
      </c>
    </row>
    <row r="299" spans="2:12" ht="15.75" hidden="1" outlineLevel="1" x14ac:dyDescent="0.3">
      <c r="B299" s="17"/>
      <c r="C299" s="17"/>
      <c r="D299" s="17" t="s">
        <v>184</v>
      </c>
      <c r="E299" s="17"/>
      <c r="F299" s="38">
        <f>IF(NOT(ISBLANK('Referenz Pflasterwerk'!$I63)),'Referenz Pflasterwerk'!$I63,'Referenz Pflasterwerk'!$F63)*IF(NOT(ISBLANK('Eingabe EF'!$AS48)),'Eingabe EF'!$AS48,0)*IF(NOT(ISBLANK('Referenz Pflasterwerk'!$I$12)),'Referenz Pflasterwerk'!$I$12,'Referenz Pflasterwerk'!$F$12)</f>
        <v>0</v>
      </c>
      <c r="G299" s="38">
        <f>IF(NOT(ISBLANK('Referenz Pflasterwerk'!$I63)),'Referenz Pflasterwerk'!$I63,'Referenz Pflasterwerk'!$F63)*IF(NOT(ISBLANK('Eingabe EF'!$AW48)),'Eingabe EF'!$AW48,0)*IF(NOT(ISBLANK('Referenz Pflasterwerk'!$I$12)),'Referenz Pflasterwerk'!$I$12,'Referenz Pflasterwerk'!$F$12)</f>
        <v>0</v>
      </c>
      <c r="H299" s="38">
        <f>IF(NOT(ISBLANK('Referenz Pflasterwerk'!$I63)),'Referenz Pflasterwerk'!$I63,'Referenz Pflasterwerk'!$F63)*IF(NOT(ISBLANK('Eingabe EF'!$BA48)),'Eingabe EF'!$BA48,0)*IF(NOT(ISBLANK('Referenz Pflasterwerk'!$I$12)),'Referenz Pflasterwerk'!$I$12,'Referenz Pflasterwerk'!$F$12)</f>
        <v>0</v>
      </c>
      <c r="I299" s="17"/>
      <c r="J299" s="38">
        <f>F299+G299</f>
        <v>0</v>
      </c>
      <c r="K299" s="38">
        <f>SUM(F299:H299)</f>
        <v>0</v>
      </c>
      <c r="L299" s="17" t="s">
        <v>199</v>
      </c>
    </row>
    <row r="300" spans="2:12" ht="15.75" hidden="1" outlineLevel="1" x14ac:dyDescent="0.3">
      <c r="B300" s="17"/>
      <c r="C300" s="17"/>
      <c r="D300" s="17" t="s">
        <v>63</v>
      </c>
      <c r="E300" s="17"/>
      <c r="F300" s="38">
        <f>IF(NOT(ISBLANK('Referenz Pflasterwerk'!$I64)),'Referenz Pflasterwerk'!$I64,'Referenz Pflasterwerk'!$F64)*IF(NOT(ISBLANK('Eingabe EF'!$AS49)),'Eingabe EF'!$AS49,'Eingabe EF'!$AQ49)*IF(NOT(ISBLANK('Referenz Pflasterwerk'!$I$12)),'Referenz Pflasterwerk'!$I$12,'Referenz Pflasterwerk'!$F$12)</f>
        <v>0</v>
      </c>
      <c r="G300" s="38">
        <f>IF(NOT(ISBLANK('Referenz Pflasterwerk'!$I64)),'Referenz Pflasterwerk'!$I64,'Referenz Pflasterwerk'!$F64)*IF(NOT(ISBLANK('Eingabe EF'!$AW49)),'Eingabe EF'!$AW49,'Eingabe EF'!$AU49)*IF(NOT(ISBLANK('Referenz Pflasterwerk'!$I$12)),'Referenz Pflasterwerk'!$I$12,'Referenz Pflasterwerk'!$F$12)</f>
        <v>0</v>
      </c>
      <c r="H300" s="38">
        <f>IF(NOT(ISBLANK('Referenz Pflasterwerk'!$I64)),'Referenz Pflasterwerk'!$I64,'Referenz Pflasterwerk'!$F64)*IF(NOT(ISBLANK('Eingabe EF'!$BA49)),'Eingabe EF'!$BA49,'Eingabe EF'!$AY49)*IF(NOT(ISBLANK('Referenz Pflasterwerk'!$I$12)),'Referenz Pflasterwerk'!$I$12,'Referenz Pflasterwerk'!$F$12)</f>
        <v>0</v>
      </c>
      <c r="I300" s="17"/>
      <c r="J300" s="38">
        <f t="shared" ref="J300" si="80">F300+G300</f>
        <v>0</v>
      </c>
      <c r="K300" s="38">
        <f t="shared" ref="K300" si="81">SUM(F300:H300)</f>
        <v>0</v>
      </c>
      <c r="L300" s="17" t="s">
        <v>199</v>
      </c>
    </row>
    <row r="301" spans="2:12" ht="15.75" hidden="1" outlineLevel="1" x14ac:dyDescent="0.3">
      <c r="B301" s="17"/>
      <c r="C301" s="17"/>
      <c r="D301" s="17" t="s">
        <v>185</v>
      </c>
      <c r="E301" s="17"/>
      <c r="F301" s="38">
        <f>IF(NOT(ISBLANK('Referenz Pflasterwerk'!$I65)),'Referenz Pflasterwerk'!$I65,'Referenz Pflasterwerk'!$F65)*IF(NOT(ISBLANK('Eingabe EF'!$AS50)),'Eingabe EF'!$AS50,0)*IF(NOT(ISBLANK('Referenz Pflasterwerk'!$I$12)),'Referenz Pflasterwerk'!$I$12,'Referenz Pflasterwerk'!$F$12)</f>
        <v>0</v>
      </c>
      <c r="G301" s="38">
        <f>IF(NOT(ISBLANK('Referenz Pflasterwerk'!$I65)),'Referenz Pflasterwerk'!$I65,'Referenz Pflasterwerk'!$F65)*IF(NOT(ISBLANK('Eingabe EF'!$AW50)),'Eingabe EF'!$AW50,0)*IF(NOT(ISBLANK('Referenz Pflasterwerk'!$I$12)),'Referenz Pflasterwerk'!$I$12,'Referenz Pflasterwerk'!$F$12)</f>
        <v>0</v>
      </c>
      <c r="H301" s="38">
        <f>IF(NOT(ISBLANK('Referenz Pflasterwerk'!$I65)),'Referenz Pflasterwerk'!$I65,'Referenz Pflasterwerk'!$F65)*IF(NOT(ISBLANK('Eingabe EF'!$BA50)),'Eingabe EF'!$BA50,0)*IF(NOT(ISBLANK('Referenz Pflasterwerk'!$I$12)),'Referenz Pflasterwerk'!$I$12,'Referenz Pflasterwerk'!$F$12)</f>
        <v>0</v>
      </c>
      <c r="I301" s="17"/>
      <c r="J301" s="38">
        <f>F301+G301</f>
        <v>0</v>
      </c>
      <c r="K301" s="38">
        <f>SUM(F301:H301)</f>
        <v>0</v>
      </c>
      <c r="L301" s="17" t="s">
        <v>199</v>
      </c>
    </row>
    <row r="302" spans="2:12" hidden="1" outlineLevel="1" x14ac:dyDescent="0.2">
      <c r="B302" s="17"/>
      <c r="C302" s="17"/>
      <c r="D302" s="17"/>
      <c r="E302" s="17"/>
      <c r="F302" s="17"/>
      <c r="G302" s="17"/>
      <c r="H302" s="17"/>
      <c r="I302" s="17"/>
      <c r="J302" s="17"/>
      <c r="K302" s="17"/>
      <c r="L302" s="20"/>
    </row>
    <row r="303" spans="2:12" ht="14.25" hidden="1" outlineLevel="1" x14ac:dyDescent="0.25">
      <c r="B303" s="69"/>
      <c r="C303" s="69" t="s">
        <v>186</v>
      </c>
      <c r="D303" s="70"/>
      <c r="E303" s="70"/>
      <c r="F303" s="71">
        <f>SUM(F304:F306)</f>
        <v>0</v>
      </c>
      <c r="G303" s="71">
        <f t="shared" ref="G303:H303" si="82">SUM(G304:G306)</f>
        <v>0</v>
      </c>
      <c r="H303" s="71">
        <f t="shared" si="82"/>
        <v>0</v>
      </c>
      <c r="I303" s="70"/>
      <c r="J303" s="71">
        <f t="shared" ref="J303" si="83">F303+G303</f>
        <v>0</v>
      </c>
      <c r="K303" s="71">
        <f t="shared" ref="K303" si="84">SUM(F303:H303)</f>
        <v>0</v>
      </c>
      <c r="L303" s="76" t="s">
        <v>198</v>
      </c>
    </row>
    <row r="304" spans="2:12" ht="15.75" hidden="1" outlineLevel="1" x14ac:dyDescent="0.3">
      <c r="B304" s="17"/>
      <c r="C304" s="17"/>
      <c r="D304" s="17" t="s">
        <v>67</v>
      </c>
      <c r="E304" s="17"/>
      <c r="F304" s="44">
        <f>IF(NOT(ISBLANK('Referenz Pflasterwerk'!$I68)),'Referenz Pflasterwerk'!$I68,'Referenz Pflasterwerk'!$F68)*IF(NOT(ISBLANK('Eingabe EF'!$AS53)),'Eingabe EF'!$AS53,'Eingabe EF'!$AQ53)</f>
        <v>0</v>
      </c>
      <c r="G304" s="44">
        <f>IF(NOT(ISBLANK('Referenz Pflasterwerk'!$I68)),'Referenz Pflasterwerk'!$I68,'Referenz Pflasterwerk'!$F68)*IF(NOT(ISBLANK('Eingabe EF'!$AW53)),'Eingabe EF'!$AW53,'Eingabe EF'!$AU53)</f>
        <v>0</v>
      </c>
      <c r="H304" s="44">
        <f>IF(NOT(ISBLANK('Referenz Pflasterwerk'!$I68)),'Referenz Pflasterwerk'!$I68,'Referenz Pflasterwerk'!$F68)*IF(NOT(ISBLANK('Eingabe EF'!$BA53)),'Eingabe EF'!$BA53,'Eingabe EF'!$AY53)</f>
        <v>0</v>
      </c>
      <c r="I304" s="17"/>
      <c r="J304" s="38">
        <f>F304+G304</f>
        <v>0</v>
      </c>
      <c r="K304" s="38">
        <f>SUM(F304:H304)</f>
        <v>0</v>
      </c>
      <c r="L304" s="17" t="s">
        <v>199</v>
      </c>
    </row>
    <row r="305" spans="2:12" ht="15.75" hidden="1" outlineLevel="1" x14ac:dyDescent="0.3">
      <c r="B305" s="17"/>
      <c r="C305" s="17"/>
      <c r="D305" s="17" t="s">
        <v>188</v>
      </c>
      <c r="E305" s="17"/>
      <c r="F305" s="44">
        <f>IF(NOT(ISBLANK('Referenz Pflasterwerk'!$I69)),'Referenz Pflasterwerk'!$I69,'Referenz Pflasterwerk'!$F69)*IF(NOT(ISBLANK('Eingabe EF'!$AS54)),'Eingabe EF'!$AS54,0)</f>
        <v>0</v>
      </c>
      <c r="G305" s="44">
        <f>IF(NOT(ISBLANK('Referenz Pflasterwerk'!$I69)),'Referenz Pflasterwerk'!$I69,'Referenz Pflasterwerk'!$F69)*IF(NOT(ISBLANK('Eingabe EF'!$AW54)),'Eingabe EF'!$AW54,0)</f>
        <v>0</v>
      </c>
      <c r="H305" s="44">
        <f>IF(NOT(ISBLANK('Referenz Pflasterwerk'!$I69)),'Referenz Pflasterwerk'!$I69,'Referenz Pflasterwerk'!$F69)*IF(NOT(ISBLANK('Eingabe EF'!$BA54)),'Eingabe EF'!$BA54,0)</f>
        <v>0</v>
      </c>
      <c r="I305" s="17"/>
      <c r="J305" s="38">
        <f t="shared" ref="J305:J306" si="85">F305+G305</f>
        <v>0</v>
      </c>
      <c r="K305" s="38">
        <f t="shared" ref="K305:K306" si="86">SUM(F305:H305)</f>
        <v>0</v>
      </c>
      <c r="L305" s="17" t="s">
        <v>199</v>
      </c>
    </row>
    <row r="306" spans="2:12" ht="15.75" hidden="1" outlineLevel="1" x14ac:dyDescent="0.3">
      <c r="B306" s="17"/>
      <c r="C306" s="17"/>
      <c r="D306" s="17" t="s">
        <v>187</v>
      </c>
      <c r="E306" s="17"/>
      <c r="F306" s="44">
        <f>IF(NOT(ISBLANK('Referenz Pflasterwerk'!$I70)),'Referenz Pflasterwerk'!$I70,'Referenz Pflasterwerk'!$F70)*IF(NOT(ISBLANK('Eingabe EF'!$AS55)),'Eingabe EF'!$AS55,0)</f>
        <v>0</v>
      </c>
      <c r="G306" s="44">
        <f>IF(NOT(ISBLANK('Referenz Pflasterwerk'!$I70)),'Referenz Pflasterwerk'!$I70,'Referenz Pflasterwerk'!$F70)*IF(NOT(ISBLANK('Eingabe EF'!$AW55)),'Eingabe EF'!$AW55,0)</f>
        <v>0</v>
      </c>
      <c r="H306" s="44">
        <f>IF(NOT(ISBLANK('Referenz Pflasterwerk'!$I70)),'Referenz Pflasterwerk'!$I70,'Referenz Pflasterwerk'!$F70)*IF(NOT(ISBLANK('Eingabe EF'!$BA55)),'Eingabe EF'!$BA55,0)</f>
        <v>0</v>
      </c>
      <c r="I306" s="17"/>
      <c r="J306" s="38">
        <f t="shared" si="85"/>
        <v>0</v>
      </c>
      <c r="K306" s="38">
        <f t="shared" si="86"/>
        <v>0</v>
      </c>
      <c r="L306" s="17" t="s">
        <v>199</v>
      </c>
    </row>
    <row r="307" spans="2:12" hidden="1" outlineLevel="1" x14ac:dyDescent="0.2">
      <c r="B307" s="17"/>
      <c r="C307" s="17"/>
      <c r="D307" s="17"/>
      <c r="E307" s="17"/>
      <c r="F307" s="17"/>
      <c r="G307" s="17"/>
      <c r="H307" s="17"/>
      <c r="I307" s="17"/>
      <c r="J307" s="17"/>
      <c r="K307" s="17"/>
      <c r="L307" s="20"/>
    </row>
    <row r="308" spans="2:12" ht="14.25" hidden="1" outlineLevel="1" x14ac:dyDescent="0.25">
      <c r="B308" s="17"/>
      <c r="C308" s="17"/>
      <c r="D308" s="21" t="s">
        <v>64</v>
      </c>
      <c r="E308" s="21"/>
      <c r="F308" s="75">
        <f>IF(NOT(ISBLANK('Referenz Pflasterwerk'!$I72)),'Referenz Pflasterwerk'!$I72,'Referenz Pflasterwerk'!$F72)*IF(NOT(ISBLANK('Eingabe EF'!$AS57)),'Eingabe EF'!$AS57,'Eingabe EF'!$AQ57)</f>
        <v>0</v>
      </c>
      <c r="G308" s="75">
        <f>IF(NOT(ISBLANK('Referenz Pflasterwerk'!$I72)),'Referenz Pflasterwerk'!$I72,'Referenz Pflasterwerk'!$F72)*IF(NOT(ISBLANK('Eingabe EF'!$AW57)),'Eingabe EF'!$AW57,'Eingabe EF'!$AU57)</f>
        <v>0</v>
      </c>
      <c r="H308" s="75">
        <f>IF(NOT(ISBLANK('Referenz Pflasterwerk'!$I72)),'Referenz Pflasterwerk'!$I72,'Referenz Pflasterwerk'!$F72)*IF(NOT(ISBLANK('Eingabe EF'!$BA57)),'Eingabe EF'!$BA57,'Eingabe EF'!$AY57)</f>
        <v>161.20000000000002</v>
      </c>
      <c r="I308" s="21"/>
      <c r="J308" s="74">
        <f t="shared" ref="J308" si="87">F308+G308</f>
        <v>0</v>
      </c>
      <c r="K308" s="74">
        <f t="shared" ref="K308" si="88">SUM(F308:H308)</f>
        <v>161.20000000000002</v>
      </c>
      <c r="L308" s="21" t="s">
        <v>198</v>
      </c>
    </row>
    <row r="309" spans="2:12" hidden="1" outlineLevel="1" x14ac:dyDescent="0.2">
      <c r="B309" s="17"/>
      <c r="C309" s="17"/>
      <c r="D309" s="17"/>
      <c r="E309" s="17"/>
      <c r="F309" s="20"/>
      <c r="G309" s="20"/>
      <c r="H309" s="20"/>
      <c r="I309" s="17"/>
      <c r="J309" s="17"/>
      <c r="K309" s="20"/>
      <c r="L309" s="20"/>
    </row>
    <row r="310" spans="2:12" ht="15" hidden="1" outlineLevel="1" thickBot="1" x14ac:dyDescent="0.3">
      <c r="B310" s="17"/>
      <c r="C310" s="17"/>
      <c r="D310" s="67" t="s">
        <v>70</v>
      </c>
      <c r="E310" s="67"/>
      <c r="F310" s="68">
        <f>SUM(F249:F308)-F263-F267-F273-F280-F285-F291-F298-F303</f>
        <v>106.60088015999999</v>
      </c>
      <c r="G310" s="68">
        <f t="shared" ref="G310:J310" si="89">SUM(G249:G308)-G263-G267-G273-G280-G285-G291-G298-G303</f>
        <v>102.58759141018427</v>
      </c>
      <c r="H310" s="68">
        <f t="shared" si="89"/>
        <v>10112.889979082946</v>
      </c>
      <c r="I310" s="21"/>
      <c r="J310" s="68">
        <f t="shared" si="89"/>
        <v>209.18847157018425</v>
      </c>
      <c r="K310" s="68">
        <f>SUM(K249:K308)-K263-K267-K273-K280-K285-K291-K298-K303</f>
        <v>10322.078450653131</v>
      </c>
      <c r="L310" s="68" t="s">
        <v>198</v>
      </c>
    </row>
    <row r="311" spans="2:12" ht="13.5" hidden="1" outlineLevel="1" thickTop="1" x14ac:dyDescent="0.2">
      <c r="B311" s="17"/>
      <c r="C311" s="17"/>
      <c r="D311" s="17"/>
      <c r="E311" s="17"/>
      <c r="F311" s="20"/>
      <c r="G311" s="20"/>
      <c r="H311" s="20"/>
      <c r="I311" s="17"/>
      <c r="J311" s="17"/>
      <c r="K311" s="20"/>
      <c r="L311" s="20"/>
    </row>
    <row r="312" spans="2:12" hidden="1" outlineLevel="1" x14ac:dyDescent="0.2"/>
    <row r="313" spans="2:12" hidden="1" outlineLevel="1" x14ac:dyDescent="0.2"/>
    <row r="314" spans="2:12" collapsed="1" x14ac:dyDescent="0.2"/>
  </sheetData>
  <sheetProtection algorithmName="SHA-512" hashValue="Ia8t+1GjdQLj3ukySrYCgcp99emirjPSsw28Fqd9BiaRhXpqtS3WBu6OR3DM8cdiLsKFQuqYZficFehW6InwOg==" saltValue="l9Ty59m8eskj7+zvvTFniQ==" spinCount="100000" sheet="1" selectLockedCells="1"/>
  <mergeCells count="11">
    <mergeCell ref="D6:L6"/>
    <mergeCell ref="E13:G13"/>
    <mergeCell ref="I13:K13"/>
    <mergeCell ref="K97:K98"/>
    <mergeCell ref="S88:S89"/>
    <mergeCell ref="C88:C89"/>
    <mergeCell ref="D42:L42"/>
    <mergeCell ref="D43:L43"/>
    <mergeCell ref="D44:L44"/>
    <mergeCell ref="D45:L45"/>
    <mergeCell ref="D46:L46"/>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10</xdr:col>
                    <xdr:colOff>523875</xdr:colOff>
                    <xdr:row>98</xdr:row>
                    <xdr:rowOff>28575</xdr:rowOff>
                  </from>
                  <to>
                    <xdr:col>10</xdr:col>
                    <xdr:colOff>704850</xdr:colOff>
                    <xdr:row>98</xdr:row>
                    <xdr:rowOff>190500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10</xdr:col>
                    <xdr:colOff>523875</xdr:colOff>
                    <xdr:row>99</xdr:row>
                    <xdr:rowOff>28575</xdr:rowOff>
                  </from>
                  <to>
                    <xdr:col>10</xdr:col>
                    <xdr:colOff>704850</xdr:colOff>
                    <xdr:row>99</xdr:row>
                    <xdr:rowOff>190500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10</xdr:col>
                    <xdr:colOff>523875</xdr:colOff>
                    <xdr:row>100</xdr:row>
                    <xdr:rowOff>28575</xdr:rowOff>
                  </from>
                  <to>
                    <xdr:col>10</xdr:col>
                    <xdr:colOff>704850</xdr:colOff>
                    <xdr:row>100</xdr:row>
                    <xdr:rowOff>180975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10</xdr:col>
                    <xdr:colOff>523875</xdr:colOff>
                    <xdr:row>101</xdr:row>
                    <xdr:rowOff>19050</xdr:rowOff>
                  </from>
                  <to>
                    <xdr:col>10</xdr:col>
                    <xdr:colOff>704850</xdr:colOff>
                    <xdr:row>101</xdr:row>
                    <xdr:rowOff>190500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10</xdr:col>
                    <xdr:colOff>523875</xdr:colOff>
                    <xdr:row>102</xdr:row>
                    <xdr:rowOff>19050</xdr:rowOff>
                  </from>
                  <to>
                    <xdr:col>10</xdr:col>
                    <xdr:colOff>704850</xdr:colOff>
                    <xdr:row>102</xdr:row>
                    <xdr:rowOff>180975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10</xdr:col>
                    <xdr:colOff>523875</xdr:colOff>
                    <xdr:row>103</xdr:row>
                    <xdr:rowOff>0</xdr:rowOff>
                  </from>
                  <to>
                    <xdr:col>10</xdr:col>
                    <xdr:colOff>704850</xdr:colOff>
                    <xdr:row>103</xdr:row>
                    <xdr:rowOff>180975</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10</xdr:col>
                    <xdr:colOff>523875</xdr:colOff>
                    <xdr:row>104</xdr:row>
                    <xdr:rowOff>9525</xdr:rowOff>
                  </from>
                  <to>
                    <xdr:col>10</xdr:col>
                    <xdr:colOff>704850</xdr:colOff>
                    <xdr:row>104</xdr:row>
                    <xdr:rowOff>190500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18</xdr:col>
                    <xdr:colOff>457200</xdr:colOff>
                    <xdr:row>100</xdr:row>
                    <xdr:rowOff>0</xdr:rowOff>
                  </from>
                  <to>
                    <xdr:col>18</xdr:col>
                    <xdr:colOff>676275</xdr:colOff>
                    <xdr:row>100</xdr:row>
                    <xdr:rowOff>180975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18</xdr:col>
                    <xdr:colOff>571500</xdr:colOff>
                    <xdr:row>101</xdr:row>
                    <xdr:rowOff>19050</xdr:rowOff>
                  </from>
                  <to>
                    <xdr:col>19</xdr:col>
                    <xdr:colOff>0</xdr:colOff>
                    <xdr:row>102</xdr:row>
                    <xdr:rowOff>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18</xdr:col>
                    <xdr:colOff>571500</xdr:colOff>
                    <xdr:row>102</xdr:row>
                    <xdr:rowOff>19050</xdr:rowOff>
                  </from>
                  <to>
                    <xdr:col>19</xdr:col>
                    <xdr:colOff>0</xdr:colOff>
                    <xdr:row>102</xdr:row>
                    <xdr:rowOff>200025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18</xdr:col>
                    <xdr:colOff>571500</xdr:colOff>
                    <xdr:row>103</xdr:row>
                    <xdr:rowOff>9525</xdr:rowOff>
                  </from>
                  <to>
                    <xdr:col>19</xdr:col>
                    <xdr:colOff>0</xdr:colOff>
                    <xdr:row>103</xdr:row>
                    <xdr:rowOff>190500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18</xdr:col>
                    <xdr:colOff>457200</xdr:colOff>
                    <xdr:row>98</xdr:row>
                    <xdr:rowOff>9525</xdr:rowOff>
                  </from>
                  <to>
                    <xdr:col>18</xdr:col>
                    <xdr:colOff>676275</xdr:colOff>
                    <xdr:row>99</xdr:row>
                    <xdr:rowOff>9525</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18</xdr:col>
                    <xdr:colOff>457200</xdr:colOff>
                    <xdr:row>97</xdr:row>
                    <xdr:rowOff>0</xdr:rowOff>
                  </from>
                  <to>
                    <xdr:col>18</xdr:col>
                    <xdr:colOff>676275</xdr:colOff>
                    <xdr:row>97</xdr:row>
                    <xdr:rowOff>180975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18</xdr:col>
                    <xdr:colOff>457200</xdr:colOff>
                    <xdr:row>99</xdr:row>
                    <xdr:rowOff>9525</xdr:rowOff>
                  </from>
                  <to>
                    <xdr:col>18</xdr:col>
                    <xdr:colOff>676275</xdr:colOff>
                    <xdr:row>100</xdr:row>
                    <xdr:rowOff>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2</xdr:col>
                    <xdr:colOff>514350</xdr:colOff>
                    <xdr:row>88</xdr:row>
                    <xdr:rowOff>152400</xdr:rowOff>
                  </from>
                  <to>
                    <xdr:col>2</xdr:col>
                    <xdr:colOff>723900</xdr:colOff>
                    <xdr:row>90</xdr:row>
                    <xdr:rowOff>9525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2</xdr:col>
                    <xdr:colOff>514350</xdr:colOff>
                    <xdr:row>89</xdr:row>
                    <xdr:rowOff>190500</xdr:rowOff>
                  </from>
                  <to>
                    <xdr:col>2</xdr:col>
                    <xdr:colOff>723900</xdr:colOff>
                    <xdr:row>91</xdr:row>
                    <xdr:rowOff>9525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2</xdr:col>
                    <xdr:colOff>514350</xdr:colOff>
                    <xdr:row>90</xdr:row>
                    <xdr:rowOff>190500</xdr:rowOff>
                  </from>
                  <to>
                    <xdr:col>2</xdr:col>
                    <xdr:colOff>723900</xdr:colOff>
                    <xdr:row>92</xdr:row>
                    <xdr:rowOff>9525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2</xdr:col>
                    <xdr:colOff>514350</xdr:colOff>
                    <xdr:row>91</xdr:row>
                    <xdr:rowOff>190500</xdr:rowOff>
                  </from>
                  <to>
                    <xdr:col>2</xdr:col>
                    <xdr:colOff>723900</xdr:colOff>
                    <xdr:row>93</xdr:row>
                    <xdr:rowOff>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2</xdr:col>
                    <xdr:colOff>514350</xdr:colOff>
                    <xdr:row>92</xdr:row>
                    <xdr:rowOff>190500</xdr:rowOff>
                  </from>
                  <to>
                    <xdr:col>2</xdr:col>
                    <xdr:colOff>723900</xdr:colOff>
                    <xdr:row>93</xdr:row>
                    <xdr:rowOff>200025</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2</xdr:col>
                    <xdr:colOff>514350</xdr:colOff>
                    <xdr:row>93</xdr:row>
                    <xdr:rowOff>180975</xdr:rowOff>
                  </from>
                  <to>
                    <xdr:col>2</xdr:col>
                    <xdr:colOff>723900</xdr:colOff>
                    <xdr:row>94</xdr:row>
                    <xdr:rowOff>190500</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2</xdr:col>
                    <xdr:colOff>514350</xdr:colOff>
                    <xdr:row>94</xdr:row>
                    <xdr:rowOff>171450</xdr:rowOff>
                  </from>
                  <to>
                    <xdr:col>2</xdr:col>
                    <xdr:colOff>723900</xdr:colOff>
                    <xdr:row>96</xdr:row>
                    <xdr:rowOff>0</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2</xdr:col>
                    <xdr:colOff>514350</xdr:colOff>
                    <xdr:row>96</xdr:row>
                    <xdr:rowOff>190500</xdr:rowOff>
                  </from>
                  <to>
                    <xdr:col>2</xdr:col>
                    <xdr:colOff>723900</xdr:colOff>
                    <xdr:row>98</xdr:row>
                    <xdr:rowOff>0</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2</xdr:col>
                    <xdr:colOff>514350</xdr:colOff>
                    <xdr:row>97</xdr:row>
                    <xdr:rowOff>180975</xdr:rowOff>
                  </from>
                  <to>
                    <xdr:col>2</xdr:col>
                    <xdr:colOff>723900</xdr:colOff>
                    <xdr:row>99</xdr:row>
                    <xdr:rowOff>0</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2</xdr:col>
                    <xdr:colOff>514350</xdr:colOff>
                    <xdr:row>98</xdr:row>
                    <xdr:rowOff>180975</xdr:rowOff>
                  </from>
                  <to>
                    <xdr:col>2</xdr:col>
                    <xdr:colOff>723900</xdr:colOff>
                    <xdr:row>100</xdr:row>
                    <xdr:rowOff>0</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2</xdr:col>
                    <xdr:colOff>514350</xdr:colOff>
                    <xdr:row>99</xdr:row>
                    <xdr:rowOff>180975</xdr:rowOff>
                  </from>
                  <to>
                    <xdr:col>2</xdr:col>
                    <xdr:colOff>723900</xdr:colOff>
                    <xdr:row>101</xdr:row>
                    <xdr:rowOff>9525</xdr:rowOff>
                  </to>
                </anchor>
              </controlPr>
            </control>
          </mc:Choice>
        </mc:AlternateContent>
        <mc:AlternateContent xmlns:mc="http://schemas.openxmlformats.org/markup-compatibility/2006">
          <mc:Choice Requires="x14">
            <control shapeId="75806" r:id="rId29" name="Check Box 30">
              <controlPr defaultSize="0" autoFill="0" autoLine="0" autoPict="0">
                <anchor moveWithCells="1">
                  <from>
                    <xdr:col>2</xdr:col>
                    <xdr:colOff>514350</xdr:colOff>
                    <xdr:row>95</xdr:row>
                    <xdr:rowOff>180975</xdr:rowOff>
                  </from>
                  <to>
                    <xdr:col>2</xdr:col>
                    <xdr:colOff>723900</xdr:colOff>
                    <xdr:row>97</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B010-ADA9-4C53-8314-276D2FB02356}">
  <sheetPr>
    <pageSetUpPr fitToPage="1"/>
  </sheetPr>
  <dimension ref="B2:AA307"/>
  <sheetViews>
    <sheetView zoomScale="90" zoomScaleNormal="90" workbookViewId="0">
      <selection activeCell="G17" sqref="G17"/>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8" width="11.625" style="6" customWidth="1"/>
    <col min="9"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6" x14ac:dyDescent="0.2">
      <c r="B2" s="3"/>
      <c r="C2" s="89"/>
      <c r="D2" s="89"/>
      <c r="E2" s="89"/>
      <c r="F2" s="89"/>
      <c r="G2" s="89"/>
      <c r="H2" s="89"/>
      <c r="I2" s="89"/>
      <c r="J2" s="89"/>
      <c r="K2" s="89"/>
      <c r="L2" s="89"/>
      <c r="M2" s="3"/>
      <c r="N2" s="3"/>
      <c r="O2" s="3"/>
      <c r="P2" s="3"/>
    </row>
    <row r="3" spans="2:16" ht="18" x14ac:dyDescent="0.25">
      <c r="B3" s="3"/>
      <c r="C3" s="89"/>
      <c r="D3" s="90" t="s">
        <v>286</v>
      </c>
      <c r="E3" s="89"/>
      <c r="F3" s="89"/>
      <c r="G3" s="89"/>
      <c r="H3" s="89"/>
      <c r="I3" s="89"/>
      <c r="J3" s="89"/>
      <c r="K3" s="89"/>
      <c r="L3" s="89"/>
      <c r="M3" s="3"/>
      <c r="N3" s="3"/>
      <c r="O3" s="3"/>
      <c r="P3" s="3"/>
    </row>
    <row r="4" spans="2:16" x14ac:dyDescent="0.2">
      <c r="B4" s="3"/>
      <c r="C4" s="89"/>
      <c r="D4" s="3"/>
      <c r="E4" s="3"/>
      <c r="F4" s="3"/>
      <c r="G4" s="3"/>
      <c r="H4" s="3"/>
      <c r="I4" s="3"/>
      <c r="J4" s="3"/>
      <c r="K4" s="3"/>
      <c r="L4" s="3"/>
      <c r="M4" s="3"/>
      <c r="N4" s="3"/>
      <c r="O4" s="3"/>
      <c r="P4" s="3"/>
    </row>
    <row r="5" spans="2:16" ht="18" customHeight="1" x14ac:dyDescent="0.2">
      <c r="B5" s="3"/>
      <c r="C5" s="89"/>
      <c r="D5" s="108" t="s">
        <v>327</v>
      </c>
      <c r="E5" s="103"/>
      <c r="F5" s="103"/>
      <c r="G5" s="103"/>
      <c r="H5" s="103"/>
      <c r="I5" s="103"/>
      <c r="J5" s="103"/>
      <c r="K5" s="103"/>
      <c r="L5" s="103"/>
      <c r="M5" s="3"/>
      <c r="N5" s="3"/>
      <c r="O5" s="3"/>
      <c r="P5" s="3"/>
    </row>
    <row r="6" spans="2:16" ht="125.25" customHeight="1" x14ac:dyDescent="0.2">
      <c r="B6" s="3"/>
      <c r="C6" s="93"/>
      <c r="D6" s="386" t="s">
        <v>465</v>
      </c>
      <c r="E6" s="386"/>
      <c r="F6" s="386"/>
      <c r="G6" s="386"/>
      <c r="H6" s="386"/>
      <c r="I6" s="386"/>
      <c r="J6" s="386"/>
      <c r="K6" s="386"/>
      <c r="L6" s="386"/>
      <c r="M6" s="3"/>
      <c r="N6" s="3"/>
      <c r="O6" s="3"/>
      <c r="P6" s="3"/>
    </row>
    <row r="7" spans="2:16" x14ac:dyDescent="0.2">
      <c r="B7" s="3"/>
      <c r="C7" s="89"/>
      <c r="D7" s="89"/>
      <c r="E7" s="89"/>
      <c r="F7" s="89"/>
      <c r="G7" s="89"/>
      <c r="H7" s="89"/>
      <c r="I7" s="89"/>
      <c r="J7" s="89"/>
      <c r="K7" s="89"/>
      <c r="L7" s="89"/>
      <c r="M7" s="3"/>
      <c r="N7" s="3"/>
      <c r="O7" s="3"/>
      <c r="P7" s="3"/>
    </row>
    <row r="9" spans="2:16" x14ac:dyDescent="0.2">
      <c r="B9" s="3"/>
      <c r="C9" s="3"/>
      <c r="D9" s="3"/>
      <c r="E9" s="3"/>
      <c r="F9" s="3"/>
      <c r="G9" s="3"/>
      <c r="H9" s="3"/>
      <c r="I9" s="3"/>
      <c r="J9" s="3"/>
      <c r="K9" s="3"/>
      <c r="L9" s="3"/>
      <c r="M9" s="3"/>
      <c r="N9" s="3"/>
      <c r="O9" s="3"/>
      <c r="P9" s="3"/>
    </row>
    <row r="10" spans="2:16" x14ac:dyDescent="0.2">
      <c r="B10" s="3"/>
      <c r="C10" s="3"/>
      <c r="D10" s="3"/>
      <c r="E10" s="3"/>
      <c r="F10" s="3"/>
      <c r="G10" s="3"/>
      <c r="H10" s="3"/>
      <c r="I10" s="3"/>
      <c r="J10" s="3"/>
      <c r="K10" s="3"/>
      <c r="L10" s="3"/>
      <c r="M10" s="3"/>
      <c r="N10" s="3"/>
      <c r="O10" s="3"/>
      <c r="P10" s="3"/>
    </row>
    <row r="11" spans="2:16" ht="18" x14ac:dyDescent="0.25">
      <c r="B11" s="3"/>
      <c r="C11" s="3"/>
      <c r="D11" s="85" t="s">
        <v>287</v>
      </c>
      <c r="E11" s="94"/>
      <c r="F11" s="95"/>
      <c r="G11" s="7"/>
      <c r="H11" s="7"/>
      <c r="I11" s="7"/>
      <c r="J11" s="7"/>
      <c r="K11" s="7"/>
      <c r="L11" s="3"/>
      <c r="M11" s="3"/>
      <c r="N11" s="3"/>
      <c r="O11" s="3"/>
      <c r="P11" s="3"/>
    </row>
    <row r="12" spans="2:16" ht="14.25" x14ac:dyDescent="0.2">
      <c r="B12" s="3"/>
      <c r="C12" s="3"/>
      <c r="D12" s="3"/>
      <c r="E12" s="3"/>
      <c r="F12" s="3"/>
      <c r="G12" s="3"/>
      <c r="H12" s="7"/>
      <c r="I12" s="7"/>
      <c r="J12" s="7"/>
      <c r="K12" s="7"/>
      <c r="L12" s="3"/>
      <c r="M12" s="3"/>
      <c r="N12" s="3"/>
      <c r="O12" s="3"/>
      <c r="P12" s="3"/>
    </row>
    <row r="13" spans="2:16" ht="14.25" customHeight="1" x14ac:dyDescent="0.2">
      <c r="B13" s="3"/>
      <c r="C13" s="3"/>
      <c r="D13" s="8"/>
      <c r="E13" s="388">
        <v>2025</v>
      </c>
      <c r="F13" s="388"/>
      <c r="G13" s="388"/>
      <c r="H13" s="13"/>
      <c r="I13" s="388">
        <v>2030</v>
      </c>
      <c r="J13" s="388"/>
      <c r="K13" s="388"/>
      <c r="L13" s="8"/>
      <c r="M13" s="3"/>
      <c r="N13" s="3"/>
      <c r="O13" s="3"/>
      <c r="P13" s="3"/>
    </row>
    <row r="14" spans="2:16" x14ac:dyDescent="0.2">
      <c r="B14" s="3"/>
      <c r="C14" s="3"/>
      <c r="D14" s="8"/>
      <c r="E14" s="101" t="s">
        <v>83</v>
      </c>
      <c r="F14" s="101"/>
      <c r="G14" s="101" t="s">
        <v>80</v>
      </c>
      <c r="H14" s="13"/>
      <c r="I14" s="101" t="s">
        <v>83</v>
      </c>
      <c r="J14" s="101"/>
      <c r="K14" s="101" t="s">
        <v>80</v>
      </c>
      <c r="L14" s="8"/>
      <c r="M14" s="3"/>
      <c r="N14" s="3"/>
      <c r="O14" s="3"/>
      <c r="P14" s="3"/>
    </row>
    <row r="15" spans="2:16" x14ac:dyDescent="0.2">
      <c r="B15" s="3"/>
      <c r="C15" s="3"/>
      <c r="D15" s="3"/>
      <c r="E15" s="3"/>
      <c r="F15" s="3"/>
      <c r="G15" s="3"/>
      <c r="H15" s="3"/>
      <c r="I15" s="3"/>
      <c r="J15" s="3"/>
      <c r="K15" s="3"/>
      <c r="L15" s="3"/>
      <c r="M15" s="3"/>
      <c r="N15" s="3"/>
      <c r="O15" s="3"/>
      <c r="P15" s="3"/>
    </row>
    <row r="16" spans="2:16" x14ac:dyDescent="0.2">
      <c r="B16" s="3"/>
      <c r="C16" s="3"/>
      <c r="D16" s="8" t="s">
        <v>288</v>
      </c>
      <c r="E16" s="3"/>
      <c r="F16" s="3"/>
      <c r="G16" s="3"/>
      <c r="H16" s="3"/>
      <c r="I16" s="3"/>
      <c r="J16" s="3"/>
      <c r="K16" s="3"/>
      <c r="L16" s="3"/>
      <c r="M16" s="3"/>
      <c r="N16" s="3"/>
      <c r="O16" s="3"/>
      <c r="P16" s="3"/>
    </row>
    <row r="17" spans="2:16" x14ac:dyDescent="0.2">
      <c r="B17" s="3"/>
      <c r="C17" s="3"/>
      <c r="D17" s="122" t="s">
        <v>261</v>
      </c>
      <c r="E17" s="79">
        <v>5</v>
      </c>
      <c r="F17" s="15" t="s">
        <v>102</v>
      </c>
      <c r="G17" s="116"/>
      <c r="H17" s="15" t="s">
        <v>102</v>
      </c>
      <c r="I17" s="79">
        <v>10</v>
      </c>
      <c r="J17" s="15" t="s">
        <v>102</v>
      </c>
      <c r="K17" s="116"/>
      <c r="L17" s="15" t="s">
        <v>102</v>
      </c>
      <c r="M17" s="3"/>
      <c r="N17" s="3"/>
      <c r="O17" s="3"/>
      <c r="P17" s="3"/>
    </row>
    <row r="18" spans="2:16" x14ac:dyDescent="0.2">
      <c r="B18" s="3"/>
      <c r="C18" s="3"/>
      <c r="D18" s="122" t="s">
        <v>262</v>
      </c>
      <c r="E18" s="79">
        <v>5</v>
      </c>
      <c r="F18" s="15" t="s">
        <v>102</v>
      </c>
      <c r="G18" s="116"/>
      <c r="H18" s="15" t="s">
        <v>102</v>
      </c>
      <c r="I18" s="79">
        <v>10</v>
      </c>
      <c r="J18" s="15" t="s">
        <v>102</v>
      </c>
      <c r="K18" s="116"/>
      <c r="L18" s="15" t="s">
        <v>102</v>
      </c>
      <c r="M18" s="3"/>
      <c r="N18" s="3"/>
      <c r="O18" s="3"/>
      <c r="P18" s="3"/>
    </row>
    <row r="19" spans="2:16" x14ac:dyDescent="0.2">
      <c r="B19" s="3"/>
      <c r="C19" s="3"/>
      <c r="D19" s="122" t="s">
        <v>51</v>
      </c>
      <c r="E19" s="79">
        <v>5</v>
      </c>
      <c r="F19" s="15" t="s">
        <v>102</v>
      </c>
      <c r="G19" s="116"/>
      <c r="H19" s="15" t="s">
        <v>102</v>
      </c>
      <c r="I19" s="79">
        <v>10</v>
      </c>
      <c r="J19" s="15" t="s">
        <v>102</v>
      </c>
      <c r="K19" s="116"/>
      <c r="L19" s="15" t="s">
        <v>102</v>
      </c>
      <c r="M19" s="3"/>
      <c r="N19" s="3"/>
      <c r="O19" s="3"/>
      <c r="P19" s="3"/>
    </row>
    <row r="20" spans="2:16" ht="14.25" x14ac:dyDescent="0.2">
      <c r="B20" s="3"/>
      <c r="C20" s="3"/>
      <c r="D20" s="122" t="s">
        <v>279</v>
      </c>
      <c r="E20" s="79">
        <v>5</v>
      </c>
      <c r="F20" s="15" t="s">
        <v>102</v>
      </c>
      <c r="G20" s="116"/>
      <c r="H20" s="15" t="s">
        <v>102</v>
      </c>
      <c r="I20" s="79">
        <v>10</v>
      </c>
      <c r="J20" s="15" t="s">
        <v>102</v>
      </c>
      <c r="K20" s="116"/>
      <c r="L20" s="15" t="s">
        <v>102</v>
      </c>
      <c r="M20" s="3"/>
      <c r="N20" s="3"/>
      <c r="O20" s="3"/>
      <c r="P20" s="3"/>
    </row>
    <row r="21" spans="2:16" x14ac:dyDescent="0.2">
      <c r="B21" s="3"/>
      <c r="C21" s="3"/>
      <c r="D21" s="11"/>
      <c r="E21" s="79"/>
      <c r="F21" s="79"/>
      <c r="G21" s="79"/>
      <c r="H21" s="79"/>
      <c r="I21" s="79"/>
      <c r="J21" s="79"/>
      <c r="K21" s="79"/>
      <c r="L21" s="15"/>
      <c r="M21" s="3"/>
      <c r="N21" s="3"/>
      <c r="O21" s="3"/>
      <c r="P21" s="3"/>
    </row>
    <row r="22" spans="2:16" ht="14.25" x14ac:dyDescent="0.2">
      <c r="B22" s="3"/>
      <c r="C22" s="3"/>
      <c r="D22" s="8" t="s">
        <v>480</v>
      </c>
      <c r="E22" s="79"/>
      <c r="F22" s="15"/>
      <c r="G22" s="15"/>
      <c r="H22" s="15"/>
      <c r="I22" s="15"/>
      <c r="J22" s="15"/>
      <c r="K22" s="15"/>
      <c r="L22" s="15"/>
      <c r="M22" s="3"/>
      <c r="N22" s="3"/>
      <c r="O22" s="3"/>
      <c r="P22" s="3"/>
    </row>
    <row r="23" spans="2:16" x14ac:dyDescent="0.2">
      <c r="B23" s="3"/>
      <c r="C23" s="3"/>
      <c r="D23" s="122" t="s">
        <v>283</v>
      </c>
      <c r="E23" s="79">
        <v>0</v>
      </c>
      <c r="F23" s="15" t="s">
        <v>49</v>
      </c>
      <c r="G23" s="300"/>
      <c r="H23" s="15" t="s">
        <v>49</v>
      </c>
      <c r="I23" s="79">
        <v>0</v>
      </c>
      <c r="J23" s="15" t="s">
        <v>49</v>
      </c>
      <c r="K23" s="300"/>
      <c r="L23" s="15" t="s">
        <v>49</v>
      </c>
      <c r="M23" s="3"/>
      <c r="N23" s="3"/>
      <c r="O23" s="3"/>
      <c r="P23" s="3"/>
    </row>
    <row r="24" spans="2:16" x14ac:dyDescent="0.2">
      <c r="B24" s="3"/>
      <c r="C24" s="3"/>
      <c r="D24" s="122" t="s">
        <v>284</v>
      </c>
      <c r="E24" s="79">
        <v>0</v>
      </c>
      <c r="F24" s="15" t="s">
        <v>49</v>
      </c>
      <c r="G24" s="300"/>
      <c r="H24" s="15" t="s">
        <v>49</v>
      </c>
      <c r="I24" s="79">
        <v>0</v>
      </c>
      <c r="J24" s="15" t="s">
        <v>49</v>
      </c>
      <c r="K24" s="300"/>
      <c r="L24" s="15" t="s">
        <v>49</v>
      </c>
      <c r="M24" s="3"/>
      <c r="N24" s="3"/>
      <c r="O24" s="3"/>
      <c r="P24" s="3"/>
    </row>
    <row r="25" spans="2:16" x14ac:dyDescent="0.2">
      <c r="B25" s="3"/>
      <c r="C25" s="3"/>
      <c r="D25" s="3"/>
      <c r="E25" s="3"/>
      <c r="F25" s="3"/>
      <c r="G25" s="3"/>
      <c r="H25" s="3"/>
      <c r="I25" s="3"/>
      <c r="J25" s="3"/>
      <c r="K25" s="3"/>
      <c r="L25" s="3"/>
      <c r="M25" s="3"/>
      <c r="N25" s="3"/>
      <c r="O25" s="3"/>
      <c r="P25" s="3"/>
    </row>
    <row r="26" spans="2:16" ht="15.75" x14ac:dyDescent="0.2">
      <c r="B26" s="3"/>
      <c r="C26" s="3"/>
      <c r="D26" s="122" t="s">
        <v>270</v>
      </c>
      <c r="E26" s="317" t="s">
        <v>121</v>
      </c>
      <c r="F26" s="15"/>
      <c r="G26" s="320"/>
      <c r="H26" s="15" t="s">
        <v>321</v>
      </c>
      <c r="I26" s="317" t="s">
        <v>121</v>
      </c>
      <c r="J26" s="15"/>
      <c r="K26" s="320"/>
      <c r="L26" s="15" t="s">
        <v>321</v>
      </c>
      <c r="M26" s="3"/>
      <c r="N26" s="3"/>
      <c r="O26" s="3"/>
      <c r="P26" s="3"/>
    </row>
    <row r="27" spans="2:16" ht="15.75" x14ac:dyDescent="0.2">
      <c r="B27" s="3"/>
      <c r="C27" s="3"/>
      <c r="D27" s="122" t="s">
        <v>271</v>
      </c>
      <c r="E27" s="317" t="s">
        <v>121</v>
      </c>
      <c r="F27" s="15"/>
      <c r="G27" s="320"/>
      <c r="H27" s="15" t="s">
        <v>321</v>
      </c>
      <c r="I27" s="317" t="s">
        <v>121</v>
      </c>
      <c r="J27" s="15"/>
      <c r="K27" s="320"/>
      <c r="L27" s="15" t="s">
        <v>321</v>
      </c>
      <c r="M27" s="3"/>
      <c r="N27" s="3"/>
      <c r="O27" s="3"/>
      <c r="P27" s="3"/>
    </row>
    <row r="28" spans="2:16" x14ac:dyDescent="0.2">
      <c r="B28" s="3"/>
      <c r="C28" s="3"/>
      <c r="D28" s="11"/>
      <c r="E28" s="79"/>
      <c r="F28" s="79"/>
      <c r="G28" s="79"/>
      <c r="H28" s="79"/>
      <c r="I28" s="79"/>
      <c r="J28" s="79"/>
      <c r="K28" s="79"/>
      <c r="L28" s="15"/>
      <c r="M28" s="3"/>
      <c r="N28" s="3"/>
      <c r="O28" s="3"/>
      <c r="P28" s="3"/>
    </row>
    <row r="29" spans="2:16" x14ac:dyDescent="0.2">
      <c r="B29" s="3"/>
      <c r="C29" s="3"/>
      <c r="D29" s="8"/>
      <c r="E29" s="80"/>
      <c r="F29" s="15"/>
      <c r="G29" s="15"/>
      <c r="H29" s="15"/>
      <c r="I29" s="80"/>
      <c r="J29" s="15"/>
      <c r="K29" s="15"/>
      <c r="L29" s="3"/>
      <c r="M29" s="3"/>
      <c r="N29" s="3"/>
      <c r="O29" s="3"/>
      <c r="P29" s="3"/>
    </row>
    <row r="30" spans="2:16" ht="14.25" x14ac:dyDescent="0.2">
      <c r="B30" s="3"/>
      <c r="C30" s="3"/>
      <c r="D30" s="12" t="s">
        <v>280</v>
      </c>
      <c r="E30" s="321">
        <v>0</v>
      </c>
      <c r="F30" s="15" t="s">
        <v>108</v>
      </c>
      <c r="G30" s="300"/>
      <c r="H30" s="15" t="s">
        <v>108</v>
      </c>
      <c r="I30" s="321">
        <v>0</v>
      </c>
      <c r="J30" s="15" t="s">
        <v>108</v>
      </c>
      <c r="K30" s="300"/>
      <c r="L30" s="3" t="s">
        <v>108</v>
      </c>
      <c r="M30" s="3"/>
      <c r="N30" s="3"/>
      <c r="O30" s="3"/>
      <c r="P30" s="3"/>
    </row>
    <row r="31" spans="2:16" ht="14.25" x14ac:dyDescent="0.2">
      <c r="B31" s="3"/>
      <c r="C31" s="3"/>
      <c r="D31" s="78" t="s">
        <v>281</v>
      </c>
      <c r="E31" s="79">
        <v>0</v>
      </c>
      <c r="F31" s="15" t="s">
        <v>109</v>
      </c>
      <c r="G31" s="300"/>
      <c r="H31" s="15" t="s">
        <v>109</v>
      </c>
      <c r="I31" s="79">
        <v>0</v>
      </c>
      <c r="J31" s="15" t="s">
        <v>109</v>
      </c>
      <c r="K31" s="300"/>
      <c r="L31" s="3" t="s">
        <v>109</v>
      </c>
      <c r="M31" s="3"/>
      <c r="N31" s="3"/>
      <c r="O31" s="3"/>
      <c r="P31" s="3"/>
    </row>
    <row r="32" spans="2:16" ht="14.25" x14ac:dyDescent="0.2">
      <c r="B32" s="3"/>
      <c r="C32" s="3"/>
      <c r="D32" s="78" t="s">
        <v>282</v>
      </c>
      <c r="E32" s="79">
        <v>0</v>
      </c>
      <c r="F32" s="15" t="s">
        <v>108</v>
      </c>
      <c r="G32" s="300"/>
      <c r="H32" s="15" t="s">
        <v>108</v>
      </c>
      <c r="I32" s="79">
        <v>0</v>
      </c>
      <c r="J32" s="15" t="s">
        <v>108</v>
      </c>
      <c r="K32" s="300"/>
      <c r="L32" s="3" t="s">
        <v>108</v>
      </c>
      <c r="M32" s="3"/>
      <c r="N32" s="3"/>
      <c r="O32" s="3"/>
      <c r="P32" s="3"/>
    </row>
    <row r="33" spans="2:27" x14ac:dyDescent="0.2">
      <c r="B33" s="3"/>
      <c r="C33" s="3"/>
      <c r="D33" s="78"/>
      <c r="E33" s="78"/>
      <c r="F33" s="78"/>
      <c r="G33" s="78"/>
      <c r="H33" s="78"/>
      <c r="I33" s="78"/>
      <c r="J33" s="78"/>
      <c r="K33" s="78"/>
      <c r="L33" s="78"/>
      <c r="M33" s="3"/>
      <c r="N33" s="3"/>
      <c r="O33" s="3"/>
      <c r="P33" s="3"/>
    </row>
    <row r="34" spans="2:27" x14ac:dyDescent="0.2">
      <c r="B34" s="3"/>
      <c r="C34" s="3"/>
      <c r="D34" s="78"/>
      <c r="E34" s="15"/>
      <c r="F34" s="15"/>
      <c r="G34" s="15"/>
      <c r="H34" s="15"/>
      <c r="I34" s="15"/>
      <c r="J34" s="15"/>
      <c r="K34" s="15"/>
      <c r="L34" s="15"/>
      <c r="M34" s="3"/>
      <c r="N34" s="3"/>
      <c r="O34" s="3"/>
      <c r="P34" s="3"/>
    </row>
    <row r="35" spans="2:27" x14ac:dyDescent="0.2">
      <c r="B35" s="3"/>
      <c r="C35" s="3"/>
      <c r="D35" s="78" t="s">
        <v>25</v>
      </c>
      <c r="E35" s="79">
        <v>10</v>
      </c>
      <c r="F35" s="15" t="s">
        <v>101</v>
      </c>
      <c r="G35" s="116"/>
      <c r="H35" s="15" t="s">
        <v>101</v>
      </c>
      <c r="I35" s="79">
        <v>10</v>
      </c>
      <c r="J35" s="15" t="s">
        <v>101</v>
      </c>
      <c r="K35" s="116"/>
      <c r="L35" s="15" t="s">
        <v>101</v>
      </c>
      <c r="M35" s="3"/>
      <c r="N35" s="3"/>
      <c r="O35" s="3"/>
      <c r="P35" s="3"/>
    </row>
    <row r="36" spans="2:27" x14ac:dyDescent="0.2">
      <c r="B36" s="3"/>
      <c r="C36" s="3"/>
      <c r="D36" s="78" t="s">
        <v>26</v>
      </c>
      <c r="E36" s="81">
        <v>8</v>
      </c>
      <c r="F36" s="15" t="s">
        <v>102</v>
      </c>
      <c r="G36" s="301"/>
      <c r="H36" s="15" t="s">
        <v>102</v>
      </c>
      <c r="I36" s="81">
        <v>8</v>
      </c>
      <c r="J36" s="15" t="s">
        <v>102</v>
      </c>
      <c r="K36" s="301"/>
      <c r="L36" s="15" t="s">
        <v>102</v>
      </c>
      <c r="M36" s="3"/>
      <c r="N36" s="3"/>
      <c r="O36" s="3"/>
      <c r="P36" s="3"/>
    </row>
    <row r="37" spans="2:27" x14ac:dyDescent="0.2">
      <c r="B37" s="3"/>
      <c r="C37" s="3"/>
      <c r="D37" s="15"/>
      <c r="E37" s="81"/>
      <c r="F37" s="15"/>
      <c r="G37" s="15"/>
      <c r="H37" s="15"/>
      <c r="I37" s="80"/>
      <c r="J37" s="15"/>
      <c r="K37" s="15"/>
      <c r="L37" s="3"/>
      <c r="M37" s="3"/>
      <c r="N37" s="3"/>
      <c r="O37" s="3"/>
      <c r="P37" s="3"/>
    </row>
    <row r="38" spans="2:27" x14ac:dyDescent="0.2">
      <c r="B38" s="3"/>
      <c r="C38" s="3"/>
      <c r="D38" s="15"/>
      <c r="E38" s="81"/>
      <c r="F38" s="15"/>
      <c r="G38" s="15"/>
      <c r="H38" s="15"/>
      <c r="I38" s="80"/>
      <c r="J38" s="15"/>
      <c r="K38" s="15"/>
      <c r="L38" s="3"/>
      <c r="M38" s="3"/>
      <c r="N38" s="3"/>
      <c r="O38" s="3"/>
      <c r="P38" s="3"/>
    </row>
    <row r="39" spans="2:27" x14ac:dyDescent="0.2">
      <c r="B39" s="3"/>
      <c r="C39" s="318" t="s">
        <v>312</v>
      </c>
      <c r="D39" s="390" t="s">
        <v>466</v>
      </c>
      <c r="E39" s="390"/>
      <c r="F39" s="390"/>
      <c r="G39" s="390"/>
      <c r="H39" s="390"/>
      <c r="I39" s="390"/>
      <c r="J39" s="390"/>
      <c r="K39" s="390"/>
      <c r="L39" s="390"/>
      <c r="M39" s="3"/>
      <c r="N39" s="3"/>
      <c r="O39" s="3"/>
      <c r="P39" s="3"/>
    </row>
    <row r="40" spans="2:27" ht="26.25" customHeight="1" x14ac:dyDescent="0.2">
      <c r="B40" s="3"/>
      <c r="C40" s="318" t="s">
        <v>313</v>
      </c>
      <c r="D40" s="391" t="s">
        <v>317</v>
      </c>
      <c r="E40" s="391"/>
      <c r="F40" s="391"/>
      <c r="G40" s="391"/>
      <c r="H40" s="391"/>
      <c r="I40" s="391"/>
      <c r="J40" s="391"/>
      <c r="K40" s="391"/>
      <c r="L40" s="391"/>
      <c r="M40" s="3"/>
      <c r="N40" s="3"/>
      <c r="O40" s="3"/>
      <c r="P40" s="3"/>
    </row>
    <row r="41" spans="2:27" x14ac:dyDescent="0.2">
      <c r="B41" s="3"/>
      <c r="C41" s="318" t="s">
        <v>314</v>
      </c>
      <c r="D41" s="392" t="s">
        <v>320</v>
      </c>
      <c r="E41" s="392"/>
      <c r="F41" s="392"/>
      <c r="G41" s="392"/>
      <c r="H41" s="392"/>
      <c r="I41" s="392"/>
      <c r="J41" s="392"/>
      <c r="K41" s="392"/>
      <c r="L41" s="392"/>
      <c r="M41" s="3"/>
      <c r="N41" s="3"/>
      <c r="O41" s="3"/>
      <c r="P41" s="3"/>
    </row>
    <row r="42" spans="2:27" x14ac:dyDescent="0.2">
      <c r="B42" s="3"/>
      <c r="C42" s="318" t="s">
        <v>315</v>
      </c>
      <c r="D42" s="392" t="s">
        <v>318</v>
      </c>
      <c r="E42" s="392"/>
      <c r="F42" s="392"/>
      <c r="G42" s="392"/>
      <c r="H42" s="392"/>
      <c r="I42" s="392"/>
      <c r="J42" s="392"/>
      <c r="K42" s="392"/>
      <c r="L42" s="392"/>
      <c r="M42" s="3"/>
      <c r="N42" s="3"/>
      <c r="O42" s="3"/>
      <c r="P42" s="3"/>
    </row>
    <row r="43" spans="2:27" x14ac:dyDescent="0.2">
      <c r="B43" s="3"/>
      <c r="C43" s="318" t="s">
        <v>316</v>
      </c>
      <c r="D43" s="392" t="s">
        <v>319</v>
      </c>
      <c r="E43" s="392"/>
      <c r="F43" s="392"/>
      <c r="G43" s="392"/>
      <c r="H43" s="392"/>
      <c r="I43" s="392"/>
      <c r="J43" s="392"/>
      <c r="K43" s="392"/>
      <c r="L43" s="392"/>
      <c r="M43" s="3"/>
      <c r="N43" s="3"/>
      <c r="O43" s="3"/>
      <c r="P43" s="3"/>
    </row>
    <row r="44" spans="2:27" x14ac:dyDescent="0.2">
      <c r="B44" s="3"/>
      <c r="C44" s="3"/>
      <c r="D44" s="15"/>
      <c r="E44" s="10"/>
      <c r="F44" s="3"/>
      <c r="G44" s="3"/>
      <c r="H44" s="3"/>
      <c r="I44" s="16"/>
      <c r="J44" s="3"/>
      <c r="K44" s="3"/>
      <c r="L44" s="3"/>
      <c r="M44" s="3"/>
      <c r="N44" s="3"/>
      <c r="O44" s="3"/>
      <c r="P44" s="3"/>
    </row>
    <row r="46" spans="2:27" x14ac:dyDescent="0.2">
      <c r="B46" s="3"/>
      <c r="C46" s="3"/>
      <c r="D46" s="14"/>
      <c r="E46" s="3"/>
      <c r="F46" s="3"/>
      <c r="G46" s="3"/>
      <c r="H46" s="3"/>
      <c r="I46" s="3"/>
      <c r="J46" s="3"/>
      <c r="K46" s="3"/>
      <c r="L46" s="3"/>
      <c r="M46" s="3"/>
      <c r="N46" s="3"/>
      <c r="O46" s="3"/>
      <c r="P46" s="3"/>
      <c r="Q46" s="3"/>
      <c r="R46" s="3"/>
      <c r="S46" s="3"/>
      <c r="T46" s="3"/>
      <c r="U46" s="3"/>
      <c r="V46" s="3"/>
      <c r="W46" s="3"/>
      <c r="X46" s="3"/>
      <c r="Y46" s="3"/>
      <c r="Z46" s="3"/>
      <c r="AA46" s="3"/>
    </row>
    <row r="47" spans="2:27" ht="18" x14ac:dyDescent="0.25">
      <c r="B47" s="3"/>
      <c r="C47" s="96" t="s">
        <v>292</v>
      </c>
      <c r="D47" s="14"/>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14"/>
      <c r="E48" s="3"/>
      <c r="F48" s="3"/>
      <c r="G48" s="114"/>
      <c r="H48" s="3"/>
      <c r="I48" s="3"/>
      <c r="J48" s="3"/>
      <c r="K48" s="3"/>
      <c r="L48" s="3"/>
      <c r="M48" s="3"/>
      <c r="N48" s="3"/>
      <c r="O48" s="3"/>
      <c r="P48" s="3"/>
      <c r="Q48" s="3"/>
      <c r="R48" s="3"/>
      <c r="S48" s="3"/>
      <c r="T48" s="3"/>
      <c r="U48" s="3"/>
      <c r="V48" s="3"/>
      <c r="W48" s="3"/>
      <c r="X48" s="3"/>
      <c r="Y48" s="3"/>
      <c r="Z48" s="3"/>
      <c r="AA48" s="3"/>
    </row>
    <row r="49" spans="2:27" ht="15" x14ac:dyDescent="0.25">
      <c r="B49" s="3"/>
      <c r="C49" s="91" t="s">
        <v>263</v>
      </c>
      <c r="D49" s="3"/>
      <c r="E49" s="3"/>
      <c r="F49" s="3"/>
      <c r="G49" s="3"/>
      <c r="H49" s="3"/>
      <c r="I49" s="3"/>
      <c r="J49" s="3"/>
      <c r="K49" s="91" t="s">
        <v>119</v>
      </c>
      <c r="L49" s="3"/>
      <c r="M49" s="3"/>
      <c r="N49" s="3"/>
      <c r="O49" s="3"/>
      <c r="P49" s="3"/>
      <c r="Q49" s="3"/>
      <c r="R49" s="3"/>
      <c r="S49" s="92" t="s">
        <v>87</v>
      </c>
      <c r="T49" s="3"/>
      <c r="U49" s="3"/>
      <c r="V49" s="3"/>
      <c r="W49" s="3"/>
      <c r="X49" s="3"/>
      <c r="Y49" s="3"/>
      <c r="Z49" s="3"/>
      <c r="AA49" s="3"/>
    </row>
    <row r="50" spans="2:27" x14ac:dyDescent="0.2">
      <c r="B50" s="3"/>
      <c r="C50" s="3"/>
      <c r="D50" s="14"/>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x14ac:dyDescent="0.2">
      <c r="B66" s="3"/>
      <c r="C66" s="3"/>
      <c r="D66" s="3"/>
      <c r="E66" s="3"/>
      <c r="F66" s="3"/>
      <c r="G66" s="3"/>
      <c r="H66" s="3"/>
      <c r="I66" s="3"/>
      <c r="J66" s="3"/>
      <c r="K66" s="3"/>
      <c r="L66" s="3"/>
      <c r="M66" s="3"/>
      <c r="N66" s="3"/>
      <c r="O66" s="3"/>
      <c r="P66" s="3"/>
      <c r="Q66" s="3"/>
      <c r="R66" s="3"/>
      <c r="S66" s="3"/>
      <c r="T66" s="3"/>
      <c r="U66" s="3"/>
      <c r="V66" s="3"/>
      <c r="W66" s="3"/>
      <c r="X66" s="3"/>
      <c r="Y66" s="3"/>
      <c r="Z66" s="3"/>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3"/>
      <c r="Z67" s="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7" x14ac:dyDescent="0.2">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7" x14ac:dyDescent="0.2">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7" x14ac:dyDescent="0.2">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7" x14ac:dyDescent="0.2">
      <c r="B72" s="3"/>
      <c r="C72" s="3"/>
      <c r="D72" s="3"/>
      <c r="E72" s="3"/>
      <c r="F72" s="3"/>
      <c r="G72" s="3"/>
      <c r="H72" s="3"/>
      <c r="I72" s="3"/>
      <c r="J72" s="3"/>
      <c r="K72" s="3"/>
      <c r="L72" s="3"/>
      <c r="M72" s="3"/>
      <c r="N72" s="3"/>
      <c r="O72" s="3"/>
      <c r="P72" s="3"/>
      <c r="Q72" s="3"/>
      <c r="R72" s="3"/>
      <c r="S72" s="3"/>
      <c r="T72" s="3"/>
      <c r="U72" s="3"/>
      <c r="V72" s="3"/>
      <c r="W72" s="3"/>
      <c r="X72" s="3"/>
      <c r="Y72" s="3"/>
      <c r="Z72" s="3"/>
      <c r="AA72" s="3"/>
    </row>
    <row r="73" spans="2:27" x14ac:dyDescent="0.2">
      <c r="B73" s="3"/>
      <c r="C73" s="3"/>
      <c r="D73" s="3"/>
      <c r="E73" s="3"/>
      <c r="F73" s="3"/>
      <c r="G73" s="3"/>
      <c r="H73" s="3"/>
      <c r="I73" s="3"/>
      <c r="J73" s="3"/>
      <c r="K73" s="3"/>
      <c r="L73" s="3"/>
      <c r="M73" s="3"/>
      <c r="N73" s="3"/>
      <c r="O73" s="3"/>
      <c r="P73" s="3"/>
      <c r="Q73" s="3"/>
      <c r="R73" s="3"/>
      <c r="S73" s="3"/>
      <c r="T73" s="3"/>
      <c r="U73" s="3"/>
      <c r="V73" s="3"/>
      <c r="W73" s="3"/>
      <c r="X73" s="3"/>
      <c r="Y73" s="3"/>
      <c r="Z73" s="3"/>
      <c r="AA73" s="3"/>
    </row>
    <row r="74" spans="2:27" x14ac:dyDescent="0.2">
      <c r="B74" s="3"/>
      <c r="C74" s="3"/>
      <c r="D74" s="3"/>
      <c r="E74" s="3"/>
      <c r="F74" s="3"/>
      <c r="G74" s="3"/>
      <c r="H74" s="3"/>
      <c r="I74" s="3"/>
      <c r="J74" s="3"/>
      <c r="K74" s="3"/>
      <c r="L74" s="3"/>
      <c r="M74" s="3"/>
      <c r="N74" s="3"/>
      <c r="O74" s="3"/>
      <c r="P74" s="3"/>
      <c r="Q74" s="3"/>
      <c r="R74" s="3"/>
      <c r="S74" s="3"/>
      <c r="T74" s="3"/>
      <c r="U74" s="3"/>
      <c r="V74" s="3"/>
      <c r="W74" s="3"/>
      <c r="X74" s="3"/>
      <c r="Y74" s="3"/>
      <c r="Z74" s="3"/>
      <c r="AA74" s="3"/>
    </row>
    <row r="75" spans="2:27" x14ac:dyDescent="0.2">
      <c r="B75" s="3"/>
      <c r="C75" s="3"/>
      <c r="D75" s="3"/>
      <c r="E75" s="3"/>
      <c r="F75" s="3"/>
      <c r="G75" s="3"/>
      <c r="H75" s="3"/>
      <c r="I75" s="3"/>
      <c r="J75" s="3"/>
      <c r="K75" s="3"/>
      <c r="L75" s="3"/>
      <c r="M75" s="3"/>
      <c r="N75" s="3"/>
      <c r="O75" s="3"/>
      <c r="P75" s="3"/>
      <c r="Q75" s="3"/>
      <c r="R75" s="3"/>
      <c r="S75" s="3"/>
      <c r="T75" s="3"/>
      <c r="U75" s="3"/>
      <c r="V75" s="3"/>
      <c r="W75" s="3"/>
      <c r="X75" s="3"/>
      <c r="Y75" s="3"/>
      <c r="Z75" s="3"/>
      <c r="AA75" s="3"/>
    </row>
    <row r="76" spans="2:27" x14ac:dyDescent="0.2">
      <c r="B76" s="3"/>
      <c r="C76" s="3"/>
      <c r="D76" s="3"/>
      <c r="E76" s="3"/>
      <c r="F76" s="3"/>
      <c r="G76" s="3"/>
      <c r="H76" s="3"/>
      <c r="I76" s="3"/>
      <c r="J76" s="3"/>
      <c r="K76" s="3"/>
      <c r="L76" s="3"/>
      <c r="M76" s="3"/>
      <c r="N76" s="3"/>
      <c r="O76" s="3"/>
      <c r="P76" s="3"/>
      <c r="Q76" s="3"/>
      <c r="R76" s="3"/>
      <c r="S76" s="3"/>
      <c r="T76" s="3"/>
      <c r="U76" s="3"/>
      <c r="V76" s="3"/>
      <c r="W76" s="3"/>
      <c r="X76" s="3"/>
      <c r="Y76" s="3"/>
      <c r="Z76" s="3"/>
      <c r="AA76" s="3"/>
    </row>
    <row r="77" spans="2:27" x14ac:dyDescent="0.2">
      <c r="B77" s="3"/>
      <c r="C77" s="3"/>
      <c r="D77" s="3"/>
      <c r="E77" s="3"/>
      <c r="F77" s="3"/>
      <c r="G77" s="3"/>
      <c r="H77" s="3"/>
      <c r="I77" s="3"/>
      <c r="J77" s="3"/>
      <c r="K77" s="3"/>
      <c r="L77" s="3"/>
      <c r="M77" s="3"/>
      <c r="N77" s="3"/>
      <c r="O77" s="3"/>
      <c r="P77" s="3"/>
      <c r="Q77" s="3"/>
      <c r="R77" s="3"/>
      <c r="S77" s="3"/>
      <c r="T77" s="3"/>
      <c r="U77" s="3"/>
      <c r="V77" s="3"/>
      <c r="W77" s="3"/>
      <c r="X77" s="3"/>
      <c r="Y77" s="3"/>
      <c r="Z77" s="3"/>
      <c r="AA77" s="3"/>
    </row>
    <row r="78" spans="2:27" x14ac:dyDescent="0.2">
      <c r="B78" s="3"/>
      <c r="C78" s="3"/>
      <c r="D78" s="3"/>
      <c r="E78" s="3"/>
      <c r="F78" s="3"/>
      <c r="G78" s="3"/>
      <c r="H78" s="3"/>
      <c r="I78" s="3"/>
      <c r="J78" s="3"/>
      <c r="K78" s="3"/>
      <c r="L78" s="3"/>
      <c r="M78" s="3"/>
      <c r="N78" s="3"/>
      <c r="O78" s="3"/>
      <c r="P78" s="3"/>
      <c r="Q78" s="3"/>
      <c r="R78" s="3"/>
      <c r="S78" s="3"/>
      <c r="T78" s="3"/>
      <c r="U78" s="3"/>
      <c r="V78" s="3"/>
      <c r="W78" s="3"/>
      <c r="X78" s="3"/>
      <c r="Y78" s="3"/>
      <c r="Z78" s="3"/>
      <c r="AA78" s="3"/>
    </row>
    <row r="79" spans="2:27" x14ac:dyDescent="0.2">
      <c r="B79" s="3"/>
      <c r="C79" s="3"/>
      <c r="D79" s="3"/>
      <c r="E79" s="3"/>
      <c r="F79" s="3"/>
      <c r="G79" s="3"/>
      <c r="H79" s="3"/>
      <c r="I79" s="3"/>
      <c r="J79" s="3"/>
      <c r="K79" s="3"/>
      <c r="L79" s="3"/>
      <c r="M79" s="3"/>
      <c r="N79" s="3"/>
      <c r="O79" s="3"/>
      <c r="P79" s="3"/>
      <c r="Q79" s="3"/>
      <c r="R79" s="3"/>
      <c r="S79" s="3"/>
      <c r="T79" s="3"/>
      <c r="U79" s="3"/>
      <c r="V79" s="3"/>
      <c r="W79" s="3"/>
      <c r="X79" s="3"/>
      <c r="Y79" s="3"/>
      <c r="Z79" s="3"/>
      <c r="AA79" s="3"/>
    </row>
    <row r="80" spans="2:27" x14ac:dyDescent="0.2">
      <c r="B80" s="3"/>
      <c r="C80" s="3"/>
      <c r="D80" s="3"/>
      <c r="E80" s="3"/>
      <c r="F80" s="3"/>
      <c r="G80" s="3"/>
      <c r="H80" s="3"/>
      <c r="I80" s="3"/>
      <c r="J80" s="3"/>
      <c r="K80" s="3"/>
      <c r="L80" s="3"/>
      <c r="M80" s="3"/>
      <c r="N80" s="3"/>
      <c r="O80" s="3"/>
      <c r="P80" s="3"/>
      <c r="Q80" s="3"/>
      <c r="R80" s="3"/>
      <c r="S80" s="3"/>
      <c r="T80" s="3"/>
      <c r="U80" s="3"/>
      <c r="V80" s="3"/>
      <c r="W80" s="3"/>
      <c r="X80" s="3"/>
      <c r="Y80" s="3"/>
      <c r="Z80" s="3"/>
      <c r="AA80" s="3"/>
    </row>
    <row r="81" spans="2:27" ht="15" customHeight="1" x14ac:dyDescent="0.25">
      <c r="B81" s="3"/>
      <c r="C81" s="96"/>
      <c r="D81" s="62"/>
      <c r="E81" s="3"/>
      <c r="F81" s="3"/>
      <c r="G81" s="3"/>
      <c r="H81" s="3"/>
      <c r="I81" s="3"/>
      <c r="J81" s="3"/>
      <c r="K81" s="3"/>
      <c r="L81" s="3"/>
      <c r="M81" s="3"/>
      <c r="N81" s="3"/>
      <c r="O81" s="3"/>
      <c r="P81" s="3"/>
      <c r="Q81" s="3"/>
      <c r="R81" s="3"/>
      <c r="S81" s="3"/>
      <c r="T81" s="3"/>
      <c r="U81" s="3"/>
      <c r="V81" s="3"/>
      <c r="W81" s="3"/>
      <c r="X81" s="3"/>
      <c r="Y81" s="84"/>
      <c r="Z81" s="84"/>
      <c r="AA81" s="3"/>
    </row>
    <row r="82" spans="2:27" x14ac:dyDescent="0.2">
      <c r="B82" s="3"/>
      <c r="C82" s="3"/>
      <c r="D82" s="3"/>
      <c r="E82" s="3"/>
      <c r="F82" s="3"/>
      <c r="G82" s="3"/>
      <c r="H82" s="3"/>
      <c r="I82" s="3"/>
      <c r="J82" s="3"/>
      <c r="K82" s="3"/>
      <c r="L82" s="3"/>
      <c r="M82" s="3"/>
      <c r="N82" s="3"/>
      <c r="O82" s="3"/>
      <c r="P82" s="3"/>
      <c r="Q82" s="3"/>
      <c r="R82" s="3"/>
      <c r="S82" s="3"/>
      <c r="T82" s="3"/>
      <c r="U82" s="3"/>
      <c r="V82" s="3"/>
      <c r="W82" s="3"/>
      <c r="X82" s="3"/>
      <c r="Y82" s="83"/>
      <c r="Z82" s="83"/>
      <c r="AA82" s="3"/>
    </row>
    <row r="83" spans="2:27" x14ac:dyDescent="0.2">
      <c r="B83" s="3"/>
      <c r="C83" s="3"/>
      <c r="D83" s="3"/>
      <c r="E83" s="3"/>
      <c r="F83" s="3"/>
      <c r="G83" s="3"/>
      <c r="H83" s="3"/>
      <c r="I83" s="3"/>
      <c r="J83" s="3"/>
      <c r="K83" s="3"/>
      <c r="L83" s="3"/>
      <c r="M83" s="3"/>
      <c r="N83" s="3"/>
      <c r="O83" s="3"/>
      <c r="P83" s="3"/>
      <c r="Q83" s="3"/>
      <c r="R83" s="3"/>
      <c r="S83" s="3"/>
      <c r="T83" s="3"/>
      <c r="U83" s="3"/>
      <c r="V83" s="3"/>
      <c r="W83" s="3"/>
      <c r="X83" s="3"/>
      <c r="Y83" s="83"/>
      <c r="Z83" s="83"/>
      <c r="AA83" s="3"/>
    </row>
    <row r="84" spans="2:27" ht="15" customHeight="1" x14ac:dyDescent="0.25">
      <c r="B84" s="3"/>
      <c r="C84" s="3"/>
      <c r="D84" s="23" t="s">
        <v>193</v>
      </c>
      <c r="E84" s="24"/>
      <c r="F84" s="24"/>
      <c r="G84" s="24"/>
      <c r="H84" s="24"/>
      <c r="I84" s="3"/>
      <c r="J84" s="3"/>
      <c r="K84" s="3"/>
      <c r="L84" s="23" t="s">
        <v>195</v>
      </c>
      <c r="M84" s="24"/>
      <c r="N84" s="24"/>
      <c r="O84" s="24"/>
      <c r="P84" s="24"/>
      <c r="Q84" s="3"/>
      <c r="R84" s="3"/>
      <c r="S84" s="3"/>
      <c r="T84" s="23" t="s">
        <v>200</v>
      </c>
      <c r="U84" s="24"/>
      <c r="V84" s="24"/>
      <c r="W84" s="24"/>
      <c r="X84" s="3"/>
      <c r="Y84" s="83"/>
      <c r="Z84" s="83"/>
      <c r="AA84" s="3"/>
    </row>
    <row r="85" spans="2:27" ht="15" customHeight="1" x14ac:dyDescent="0.25">
      <c r="B85" s="3"/>
      <c r="C85" s="387" t="s">
        <v>147</v>
      </c>
      <c r="D85" s="34"/>
      <c r="E85" s="46">
        <v>2020</v>
      </c>
      <c r="F85" s="47">
        <v>2025</v>
      </c>
      <c r="G85" s="47">
        <v>2030</v>
      </c>
      <c r="H85" s="34"/>
      <c r="I85" s="3"/>
      <c r="J85" s="3"/>
      <c r="K85" s="3"/>
      <c r="L85" s="34"/>
      <c r="M85" s="46">
        <v>2020</v>
      </c>
      <c r="N85" s="47">
        <v>2025</v>
      </c>
      <c r="O85" s="47">
        <v>2030</v>
      </c>
      <c r="P85" s="34"/>
      <c r="Q85" s="3"/>
      <c r="R85" s="3"/>
      <c r="S85" s="387" t="s">
        <v>147</v>
      </c>
      <c r="T85" s="34"/>
      <c r="U85" s="47">
        <v>2020</v>
      </c>
      <c r="V85" s="47">
        <v>2025</v>
      </c>
      <c r="W85" s="47">
        <v>2030</v>
      </c>
      <c r="X85" s="3"/>
      <c r="Y85" s="83"/>
      <c r="Z85" s="83"/>
      <c r="AA85" s="63"/>
    </row>
    <row r="86" spans="2:27" x14ac:dyDescent="0.2">
      <c r="B86" s="3"/>
      <c r="C86" s="387"/>
      <c r="D86" s="24"/>
      <c r="E86" s="48" t="s">
        <v>92</v>
      </c>
      <c r="F86" s="49"/>
      <c r="G86" s="49"/>
      <c r="H86" s="24"/>
      <c r="I86" s="3"/>
      <c r="J86" s="3"/>
      <c r="K86" s="3"/>
      <c r="L86" s="24"/>
      <c r="M86" s="48" t="s">
        <v>92</v>
      </c>
      <c r="N86" s="49"/>
      <c r="O86" s="49"/>
      <c r="P86" s="24"/>
      <c r="Q86" s="3"/>
      <c r="R86" s="3"/>
      <c r="S86" s="387"/>
      <c r="T86" s="24"/>
      <c r="U86" s="50" t="s">
        <v>92</v>
      </c>
      <c r="V86" s="50"/>
      <c r="W86" s="59"/>
      <c r="X86" s="3"/>
      <c r="Y86" s="83"/>
      <c r="Z86" s="83"/>
      <c r="AA86" s="63"/>
    </row>
    <row r="87" spans="2:27" ht="15.75" x14ac:dyDescent="0.3">
      <c r="B87" s="3"/>
      <c r="C87" s="3"/>
      <c r="D87" s="29" t="str">
        <f>C164</f>
        <v>Energieträger gesamt</v>
      </c>
      <c r="E87" s="26">
        <f>SUM('Referenz Pflasterwerk'!S16:S29)</f>
        <v>60.712972560000004</v>
      </c>
      <c r="F87" s="26">
        <f>H164</f>
        <v>49.22770657818478</v>
      </c>
      <c r="G87" s="26">
        <f>H242</f>
        <v>33.751991196047953</v>
      </c>
      <c r="H87" s="25" t="s">
        <v>164</v>
      </c>
      <c r="I87" s="3"/>
      <c r="J87" s="3"/>
      <c r="K87" s="3"/>
      <c r="L87" s="29" t="s">
        <v>118</v>
      </c>
      <c r="M87" s="26">
        <f>'Referenz Pflasterwerk'!Q74</f>
        <v>106.60088015999999</v>
      </c>
      <c r="N87" s="26">
        <f>F227</f>
        <v>106.60088015999999</v>
      </c>
      <c r="O87" s="26">
        <f>F305</f>
        <v>106.60088015999999</v>
      </c>
      <c r="P87" s="25" t="s">
        <v>164</v>
      </c>
      <c r="Q87" s="3"/>
      <c r="R87" s="3"/>
      <c r="S87" s="3"/>
      <c r="T87" s="57" t="s">
        <v>160</v>
      </c>
      <c r="U87" s="58">
        <f>SUM(U88:U94)</f>
        <v>172669</v>
      </c>
      <c r="V87" s="58">
        <f t="shared" ref="V87:W87" si="0">SUM(V88:V94)</f>
        <v>172669</v>
      </c>
      <c r="W87" s="58">
        <f t="shared" si="0"/>
        <v>172669</v>
      </c>
      <c r="X87" s="3"/>
      <c r="Y87" s="115"/>
      <c r="Z87" s="115"/>
      <c r="AA87" s="63"/>
    </row>
    <row r="88" spans="2:27" ht="15.75" x14ac:dyDescent="0.3">
      <c r="B88" s="3"/>
      <c r="C88" s="3"/>
      <c r="D88" s="8" t="str">
        <f>C180</f>
        <v>Transport gesamt</v>
      </c>
      <c r="E88" s="9">
        <f>'Referenz Pflasterwerk'!S32+'Referenz Pflasterwerk'!S33</f>
        <v>578.62626120000004</v>
      </c>
      <c r="F88" s="9">
        <f>H180</f>
        <v>578.62626120000004</v>
      </c>
      <c r="G88" s="9">
        <f>H258</f>
        <v>578.62626120000004</v>
      </c>
      <c r="H88" s="3" t="s">
        <v>164</v>
      </c>
      <c r="I88" s="3"/>
      <c r="J88" s="3"/>
      <c r="K88" s="3"/>
      <c r="L88" s="8" t="s">
        <v>28</v>
      </c>
      <c r="M88" s="9">
        <f>'Referenz Pflasterwerk'!R74</f>
        <v>286.5</v>
      </c>
      <c r="N88" s="9">
        <f>G227</f>
        <v>208.15407848118898</v>
      </c>
      <c r="O88" s="9">
        <f>G305</f>
        <v>102.58759141018427</v>
      </c>
      <c r="P88" s="3" t="s">
        <v>164</v>
      </c>
      <c r="Q88" s="3"/>
      <c r="R88" s="3"/>
      <c r="S88" s="3"/>
      <c r="T88" s="31" t="s">
        <v>32</v>
      </c>
      <c r="U88" s="52">
        <f>'Referenz Pflasterwerk'!AB16</f>
        <v>2745</v>
      </c>
      <c r="V88" s="52">
        <f>S166+S171</f>
        <v>2745</v>
      </c>
      <c r="W88" s="52">
        <f>S244+S249</f>
        <v>2745</v>
      </c>
      <c r="X88" s="3"/>
      <c r="Y88" s="115"/>
      <c r="Z88" s="115"/>
      <c r="AA88" s="63"/>
    </row>
    <row r="89" spans="2:27" ht="15.75" x14ac:dyDescent="0.3">
      <c r="B89" s="3"/>
      <c r="C89" s="3"/>
      <c r="D89" s="29" t="str">
        <f>C184</f>
        <v>Zement</v>
      </c>
      <c r="E89" s="26">
        <f>'Referenz Pflasterwerk'!S35</f>
        <v>7683.24</v>
      </c>
      <c r="F89" s="26">
        <f>H184</f>
        <v>7299.0780000000004</v>
      </c>
      <c r="G89" s="26">
        <f>H262</f>
        <v>6914.9160000000002</v>
      </c>
      <c r="H89" s="25" t="s">
        <v>164</v>
      </c>
      <c r="I89" s="3"/>
      <c r="J89" s="3"/>
      <c r="K89" s="3"/>
      <c r="L89" s="29" t="s">
        <v>29</v>
      </c>
      <c r="M89" s="26">
        <f>'Referenz Pflasterwerk'!S74</f>
        <v>10520.622960446901</v>
      </c>
      <c r="N89" s="26">
        <f>H227</f>
        <v>10124.975694465084</v>
      </c>
      <c r="O89" s="26">
        <f>H305</f>
        <v>9725.3379790829531</v>
      </c>
      <c r="P89" s="25" t="s">
        <v>164</v>
      </c>
      <c r="Q89" s="3"/>
      <c r="R89" s="3"/>
      <c r="S89" s="3"/>
      <c r="T89" s="31" t="s">
        <v>33</v>
      </c>
      <c r="U89" s="52">
        <f>'Referenz Pflasterwerk'!AB17</f>
        <v>460</v>
      </c>
      <c r="V89" s="52">
        <f>S167+S172</f>
        <v>460</v>
      </c>
      <c r="W89" s="52">
        <f>S245+S250</f>
        <v>460</v>
      </c>
      <c r="X89" s="3"/>
      <c r="Y89" s="115"/>
      <c r="Z89" s="115"/>
      <c r="AA89" s="63"/>
    </row>
    <row r="90" spans="2:27" ht="16.5" thickBot="1" x14ac:dyDescent="0.35">
      <c r="B90" s="3"/>
      <c r="C90" s="3"/>
      <c r="D90" s="8" t="str">
        <f>C190</f>
        <v>Gesteinskörnungen (Zuschlagsstoffe)</v>
      </c>
      <c r="E90" s="9">
        <f>'Referenz Pflasterwerk'!S41</f>
        <v>387.03000000000003</v>
      </c>
      <c r="F90" s="9">
        <f>H190</f>
        <v>387.03000000000003</v>
      </c>
      <c r="G90" s="9">
        <f>H268</f>
        <v>387.03000000000003</v>
      </c>
      <c r="H90" s="3" t="s">
        <v>164</v>
      </c>
      <c r="I90" s="3"/>
      <c r="J90" s="3"/>
      <c r="K90" s="3"/>
      <c r="L90" s="27" t="s">
        <v>70</v>
      </c>
      <c r="M90" s="28">
        <f>SUM(M87:M89)</f>
        <v>10913.723840606901</v>
      </c>
      <c r="N90" s="28">
        <f t="shared" ref="N90:O90" si="1">SUM(N87:N89)</f>
        <v>10439.730653106273</v>
      </c>
      <c r="O90" s="28">
        <f t="shared" si="1"/>
        <v>9934.5264506531366</v>
      </c>
      <c r="P90" s="27" t="s">
        <v>165</v>
      </c>
      <c r="Q90" s="3"/>
      <c r="R90" s="3"/>
      <c r="S90" s="3"/>
      <c r="T90" s="31" t="s">
        <v>34</v>
      </c>
      <c r="U90" s="52">
        <f>'Referenz Pflasterwerk'!AB18</f>
        <v>129000</v>
      </c>
      <c r="V90" s="52">
        <f>S168+S174</f>
        <v>129000</v>
      </c>
      <c r="W90" s="52">
        <f>S246+S252</f>
        <v>129000</v>
      </c>
      <c r="X90" s="3"/>
      <c r="Y90" s="115"/>
      <c r="Z90" s="115"/>
      <c r="AA90" s="63"/>
    </row>
    <row r="91" spans="2:27" ht="16.5" thickTop="1" x14ac:dyDescent="0.3">
      <c r="B91" s="3"/>
      <c r="C91" s="3"/>
      <c r="D91" s="29" t="str">
        <f>D195</f>
        <v>Farben</v>
      </c>
      <c r="E91" s="26">
        <f>'Referenz Pflasterwerk'!S46</f>
        <v>1040</v>
      </c>
      <c r="F91" s="26">
        <f>H195</f>
        <v>1040</v>
      </c>
      <c r="G91" s="26">
        <f>H273</f>
        <v>1040</v>
      </c>
      <c r="H91" s="25" t="s">
        <v>164</v>
      </c>
      <c r="I91" s="3"/>
      <c r="J91" s="3"/>
      <c r="K91" s="3"/>
      <c r="L91" s="3"/>
      <c r="M91" s="3"/>
      <c r="N91" s="3"/>
      <c r="O91" s="3"/>
      <c r="P91" s="3"/>
      <c r="Q91" s="3"/>
      <c r="R91" s="3"/>
      <c r="S91" s="3"/>
      <c r="T91" s="31" t="s">
        <v>125</v>
      </c>
      <c r="U91" s="52">
        <f>'Referenz Pflasterwerk'!AB19</f>
        <v>0</v>
      </c>
      <c r="V91" s="52">
        <f>S175</f>
        <v>0</v>
      </c>
      <c r="W91" s="52">
        <f>S253</f>
        <v>0</v>
      </c>
      <c r="X91" s="3"/>
      <c r="Y91" s="115"/>
      <c r="Z91" s="115"/>
      <c r="AA91" s="63"/>
    </row>
    <row r="92" spans="2:27" ht="15.75" x14ac:dyDescent="0.3">
      <c r="B92" s="3"/>
      <c r="C92" s="3"/>
      <c r="D92" s="8" t="str">
        <f>C197</f>
        <v>Zusatzstoffe (Füllstoffe)</v>
      </c>
      <c r="E92" s="9">
        <f>'Referenz Pflasterwerk'!S48</f>
        <v>424.19999999999993</v>
      </c>
      <c r="F92" s="9">
        <f>H197</f>
        <v>424.19999999999993</v>
      </c>
      <c r="G92" s="9">
        <f>H275</f>
        <v>424.19999999999993</v>
      </c>
      <c r="H92" s="3" t="s">
        <v>164</v>
      </c>
      <c r="I92" s="3"/>
      <c r="J92" s="3"/>
      <c r="K92" s="3"/>
      <c r="L92" s="3"/>
      <c r="M92" s="3"/>
      <c r="N92" s="3"/>
      <c r="O92" s="3"/>
      <c r="P92" s="3"/>
      <c r="Q92" s="3"/>
      <c r="R92" s="3"/>
      <c r="S92" s="3"/>
      <c r="T92" s="31" t="s">
        <v>126</v>
      </c>
      <c r="U92" s="52">
        <f>'Referenz Pflasterwerk'!AB20</f>
        <v>0</v>
      </c>
      <c r="V92" s="52">
        <f>S169</f>
        <v>0</v>
      </c>
      <c r="W92" s="52">
        <f>S247</f>
        <v>0</v>
      </c>
      <c r="X92" s="3"/>
      <c r="Y92" s="115"/>
      <c r="Z92" s="115"/>
      <c r="AA92" s="63"/>
    </row>
    <row r="93" spans="2:27" ht="15.75" x14ac:dyDescent="0.3">
      <c r="B93" s="3"/>
      <c r="C93" s="3"/>
      <c r="D93" s="29" t="str">
        <f>C202</f>
        <v>Zusatzmittel</v>
      </c>
      <c r="E93" s="26">
        <f>'Referenz Pflasterwerk'!S53</f>
        <v>185.55932668689491</v>
      </c>
      <c r="F93" s="26">
        <f>H202</f>
        <v>185.55932668689491</v>
      </c>
      <c r="G93" s="26">
        <f>H280</f>
        <v>185.55932668689491</v>
      </c>
      <c r="H93" s="25" t="s">
        <v>164</v>
      </c>
      <c r="I93" s="3"/>
      <c r="J93" s="3"/>
      <c r="K93" s="3"/>
      <c r="L93" s="23" t="s">
        <v>264</v>
      </c>
      <c r="M93" s="24"/>
      <c r="N93" s="24"/>
      <c r="O93" s="24"/>
      <c r="P93" s="24"/>
      <c r="Q93" s="3"/>
      <c r="R93" s="3"/>
      <c r="S93" s="3"/>
      <c r="T93" s="31" t="s">
        <v>463</v>
      </c>
      <c r="U93" s="52">
        <f>'Referenz Pflasterwerk'!AB21</f>
        <v>0</v>
      </c>
      <c r="V93" s="52">
        <f>S176</f>
        <v>0</v>
      </c>
      <c r="W93" s="52">
        <f>S254</f>
        <v>0</v>
      </c>
      <c r="X93" s="3"/>
      <c r="Y93" s="115"/>
      <c r="Z93" s="115"/>
      <c r="AA93" s="63"/>
    </row>
    <row r="94" spans="2:27" ht="15.75" x14ac:dyDescent="0.3">
      <c r="B94" s="3"/>
      <c r="C94" s="3"/>
      <c r="D94" s="8" t="str">
        <f>C208</f>
        <v>Zusätzliche Ersatzstoffe</v>
      </c>
      <c r="E94" s="9">
        <v>0</v>
      </c>
      <c r="F94" s="9">
        <f>H208</f>
        <v>0</v>
      </c>
      <c r="G94" s="9">
        <f>H286</f>
        <v>0</v>
      </c>
      <c r="H94" s="3" t="s">
        <v>164</v>
      </c>
      <c r="I94" s="3"/>
      <c r="J94" s="3"/>
      <c r="K94" s="387" t="s">
        <v>147</v>
      </c>
      <c r="L94" s="46"/>
      <c r="M94" s="46">
        <v>2020</v>
      </c>
      <c r="N94" s="47">
        <v>2025</v>
      </c>
      <c r="O94" s="47">
        <v>2030</v>
      </c>
      <c r="P94" s="34"/>
      <c r="Q94" s="3"/>
      <c r="R94" s="3"/>
      <c r="S94" s="3"/>
      <c r="T94" s="51" t="s">
        <v>35</v>
      </c>
      <c r="U94" s="53">
        <f>'Referenz Pflasterwerk'!AB22</f>
        <v>40464.000000000007</v>
      </c>
      <c r="V94" s="54">
        <f>S178+S179</f>
        <v>40464</v>
      </c>
      <c r="W94" s="54">
        <f>S256+S257</f>
        <v>40464</v>
      </c>
      <c r="X94" s="3"/>
      <c r="Y94" s="115"/>
      <c r="Z94" s="115"/>
      <c r="AA94" s="63"/>
    </row>
    <row r="95" spans="2:27" ht="15.75" x14ac:dyDescent="0.3">
      <c r="B95" s="3"/>
      <c r="C95" s="3"/>
      <c r="D95" s="29" t="s">
        <v>194</v>
      </c>
      <c r="E95" s="26">
        <f>'Referenz Pflasterwerk'!S59+'Referenz Pflasterwerk'!S60</f>
        <v>5.4399999999999997E-2</v>
      </c>
      <c r="F95" s="26">
        <f>H212+H213</f>
        <v>5.4399999999999997E-2</v>
      </c>
      <c r="G95" s="26">
        <f>H290+H291</f>
        <v>5.4399999999999997E-2</v>
      </c>
      <c r="H95" s="25" t="s">
        <v>164</v>
      </c>
      <c r="I95" s="3"/>
      <c r="J95" s="3"/>
      <c r="K95" s="387"/>
      <c r="L95" s="24"/>
      <c r="M95" s="48" t="s">
        <v>92</v>
      </c>
      <c r="N95" s="49"/>
      <c r="O95" s="49"/>
      <c r="P95" s="24"/>
      <c r="Q95" s="3"/>
      <c r="R95" s="3"/>
      <c r="S95" s="3"/>
      <c r="T95" s="8" t="s">
        <v>31</v>
      </c>
      <c r="U95" s="55">
        <v>0</v>
      </c>
      <c r="V95" s="55">
        <f>S182</f>
        <v>0</v>
      </c>
      <c r="W95" s="55">
        <f>S260</f>
        <v>0</v>
      </c>
      <c r="X95" s="3"/>
      <c r="Y95" s="115"/>
      <c r="Z95" s="115"/>
      <c r="AA95" s="63"/>
    </row>
    <row r="96" spans="2:27" ht="15.75" x14ac:dyDescent="0.3">
      <c r="B96" s="3"/>
      <c r="C96" s="3"/>
      <c r="D96" s="8" t="str">
        <f>C215</f>
        <v>Oberflächenschutzsysteme</v>
      </c>
      <c r="E96" s="9">
        <f>'Referenz Pflasterwerk'!S62</f>
        <v>0</v>
      </c>
      <c r="F96" s="9">
        <f>H215</f>
        <v>0</v>
      </c>
      <c r="G96" s="9">
        <f>H293</f>
        <v>0</v>
      </c>
      <c r="H96" s="3" t="s">
        <v>164</v>
      </c>
      <c r="I96" s="3"/>
      <c r="J96" s="3"/>
      <c r="K96" s="3"/>
      <c r="L96" s="29" t="s">
        <v>32</v>
      </c>
      <c r="M96" s="32">
        <f>'Referenz Pflasterwerk'!$U$16+'Referenz Pflasterwerk'!U21</f>
        <v>8.2422000000000004</v>
      </c>
      <c r="N96" s="32">
        <f>J166+J171</f>
        <v>8.2422000000000004</v>
      </c>
      <c r="O96" s="32">
        <f>J244+J249</f>
        <v>8.2422000000000004</v>
      </c>
      <c r="P96" s="25" t="s">
        <v>164</v>
      </c>
      <c r="Q96" s="3"/>
      <c r="R96" s="3"/>
      <c r="S96" s="3"/>
      <c r="T96" s="8" t="s">
        <v>155</v>
      </c>
      <c r="U96" s="55">
        <v>0</v>
      </c>
      <c r="V96" s="55">
        <f>S183</f>
        <v>0</v>
      </c>
      <c r="W96" s="55">
        <f>S261</f>
        <v>0</v>
      </c>
      <c r="X96" s="3"/>
      <c r="Y96" s="115"/>
      <c r="Z96" s="115"/>
      <c r="AA96" s="63"/>
    </row>
    <row r="97" spans="2:27" ht="15.75" x14ac:dyDescent="0.3">
      <c r="B97" s="3"/>
      <c r="C97" s="3"/>
      <c r="D97" s="29" t="str">
        <f>C220</f>
        <v>Oberflächenbearbeitung (vor/nach Erhärtung)</v>
      </c>
      <c r="E97" s="26">
        <f>'Referenz Pflasterwerk'!S67</f>
        <v>0</v>
      </c>
      <c r="F97" s="26">
        <f>H220</f>
        <v>0</v>
      </c>
      <c r="G97" s="26">
        <f>H298</f>
        <v>0</v>
      </c>
      <c r="H97" s="25" t="s">
        <v>164</v>
      </c>
      <c r="I97" s="3"/>
      <c r="J97" s="3"/>
      <c r="K97" s="3"/>
      <c r="L97" s="8" t="s">
        <v>33</v>
      </c>
      <c r="M97" s="10">
        <f>'Referenz Pflasterwerk'!$U$17+'Referenz Pflasterwerk'!U22</f>
        <v>2.6676000000000002</v>
      </c>
      <c r="N97" s="10">
        <f>J167+J172</f>
        <v>2.6676000000000002</v>
      </c>
      <c r="O97" s="10">
        <f>J245+J250</f>
        <v>2.6676000000000002</v>
      </c>
      <c r="P97" s="3" t="s">
        <v>164</v>
      </c>
      <c r="Q97" s="3"/>
      <c r="R97" s="3"/>
      <c r="S97" s="3"/>
      <c r="T97" s="59" t="s">
        <v>162</v>
      </c>
      <c r="U97" s="61">
        <v>0</v>
      </c>
      <c r="V97" s="61">
        <f>S184</f>
        <v>0</v>
      </c>
      <c r="W97" s="61">
        <f>S262</f>
        <v>0</v>
      </c>
      <c r="X97" s="3"/>
      <c r="Y97" s="115"/>
      <c r="Z97" s="115"/>
      <c r="AA97" s="63"/>
    </row>
    <row r="98" spans="2:27" ht="15.75" x14ac:dyDescent="0.3">
      <c r="B98" s="3"/>
      <c r="C98" s="3"/>
      <c r="D98" s="8" t="str">
        <f>D225</f>
        <v>Verpackungsmaterial</v>
      </c>
      <c r="E98" s="9">
        <f>'Referenz Pflasterwerk'!S72</f>
        <v>161.20000000000002</v>
      </c>
      <c r="F98" s="9">
        <f>H225</f>
        <v>161.20000000000002</v>
      </c>
      <c r="G98" s="9">
        <f>H303</f>
        <v>161.20000000000002</v>
      </c>
      <c r="H98" s="3" t="s">
        <v>164</v>
      </c>
      <c r="I98" s="3"/>
      <c r="J98" s="3"/>
      <c r="K98" s="3"/>
      <c r="L98" s="29" t="s">
        <v>34</v>
      </c>
      <c r="M98" s="32">
        <f>'Referenz Pflasterwerk'!$U$18+'Referenz Pflasterwerk'!R24</f>
        <v>286.5</v>
      </c>
      <c r="N98" s="32">
        <f>J168+J174</f>
        <v>208.15407848118898</v>
      </c>
      <c r="O98" s="32">
        <f>J246+J252</f>
        <v>102.58759141018427</v>
      </c>
      <c r="P98" s="25" t="s">
        <v>164</v>
      </c>
      <c r="Q98" s="3"/>
      <c r="R98" s="3"/>
      <c r="S98" s="3"/>
      <c r="T98" s="57" t="s">
        <v>156</v>
      </c>
      <c r="U98" s="58">
        <f>SUM(U99:U101)</f>
        <v>272843.09601517254</v>
      </c>
      <c r="V98" s="58">
        <f t="shared" ref="V98:W98" si="2">SUM(V99:V101)</f>
        <v>469787.87938978226</v>
      </c>
      <c r="W98" s="58">
        <f t="shared" si="2"/>
        <v>794762.11605225096</v>
      </c>
      <c r="X98" s="3"/>
      <c r="Y98" s="115"/>
      <c r="Z98" s="115"/>
      <c r="AA98" s="63"/>
    </row>
    <row r="99" spans="2:27" ht="16.5" thickBot="1" x14ac:dyDescent="0.35">
      <c r="B99" s="3"/>
      <c r="C99" s="3"/>
      <c r="D99" s="27" t="s">
        <v>70</v>
      </c>
      <c r="E99" s="28">
        <f>SUM(E87:E98)</f>
        <v>10520.622960446897</v>
      </c>
      <c r="F99" s="28">
        <f>SUM(F87:F98)</f>
        <v>10124.975694465082</v>
      </c>
      <c r="G99" s="28">
        <f>SUM(G87:G98)</f>
        <v>9725.337979082944</v>
      </c>
      <c r="H99" s="27" t="s">
        <v>165</v>
      </c>
      <c r="I99" s="3"/>
      <c r="J99" s="3"/>
      <c r="K99" s="3"/>
      <c r="L99" s="8" t="s">
        <v>129</v>
      </c>
      <c r="M99" s="10">
        <f>'Referenz Pflasterwerk'!$U$19</f>
        <v>0</v>
      </c>
      <c r="N99" s="10">
        <f>J169</f>
        <v>0</v>
      </c>
      <c r="O99" s="10">
        <f>J247</f>
        <v>0</v>
      </c>
      <c r="P99" s="3" t="s">
        <v>164</v>
      </c>
      <c r="Q99" s="3"/>
      <c r="R99" s="3"/>
      <c r="S99" s="3"/>
      <c r="T99" s="31" t="s">
        <v>157</v>
      </c>
      <c r="U99" s="52">
        <f>'Referenz Pflasterwerk'!AB26</f>
        <v>2665.0220039999999</v>
      </c>
      <c r="V99" s="52">
        <f>S187</f>
        <v>4797.0396071999994</v>
      </c>
      <c r="W99" s="52">
        <f>S265</f>
        <v>8528.0704127999998</v>
      </c>
      <c r="X99" s="3"/>
      <c r="Y99" s="115"/>
      <c r="Z99" s="115"/>
      <c r="AA99" s="63"/>
    </row>
    <row r="100" spans="2:27" ht="16.5" thickTop="1" x14ac:dyDescent="0.3">
      <c r="B100" s="3"/>
      <c r="C100" s="3"/>
      <c r="D100" s="3"/>
      <c r="E100" s="3"/>
      <c r="F100" s="3"/>
      <c r="G100" s="3"/>
      <c r="H100" s="3"/>
      <c r="I100" s="3"/>
      <c r="J100" s="3"/>
      <c r="K100" s="3"/>
      <c r="L100" s="29" t="s">
        <v>125</v>
      </c>
      <c r="M100" s="32">
        <f>'Referenz Pflasterwerk'!$U$25</f>
        <v>0</v>
      </c>
      <c r="N100" s="32">
        <f>J175</f>
        <v>0</v>
      </c>
      <c r="O100" s="32">
        <f>J253</f>
        <v>0</v>
      </c>
      <c r="P100" s="25" t="s">
        <v>164</v>
      </c>
      <c r="Q100" s="3"/>
      <c r="R100" s="3"/>
      <c r="S100" s="3"/>
      <c r="T100" s="31" t="s">
        <v>158</v>
      </c>
      <c r="U100" s="52">
        <f>'Referenz Pflasterwerk'!AB27</f>
        <v>7162.5</v>
      </c>
      <c r="V100" s="52">
        <f>S188</f>
        <v>9366.9335316535035</v>
      </c>
      <c r="W100" s="52">
        <f>S266</f>
        <v>8207.0073128147415</v>
      </c>
      <c r="X100" s="3"/>
      <c r="Y100" s="115"/>
      <c r="Z100" s="115"/>
      <c r="AA100" s="63"/>
    </row>
    <row r="101" spans="2:27" ht="15.75" x14ac:dyDescent="0.3">
      <c r="B101" s="3"/>
      <c r="C101" s="3"/>
      <c r="D101" s="3"/>
      <c r="E101" s="3"/>
      <c r="F101" s="3"/>
      <c r="G101" s="3"/>
      <c r="H101" s="3"/>
      <c r="I101" s="3"/>
      <c r="J101" s="3"/>
      <c r="K101" s="3"/>
      <c r="L101" s="8" t="s">
        <v>151</v>
      </c>
      <c r="M101" s="10">
        <f>'Referenz Pflasterwerk'!$U$26</f>
        <v>0</v>
      </c>
      <c r="N101" s="10">
        <f>J176</f>
        <v>0</v>
      </c>
      <c r="O101" s="10">
        <f>J254</f>
        <v>0</v>
      </c>
      <c r="P101" s="3" t="s">
        <v>164</v>
      </c>
      <c r="Q101" s="3"/>
      <c r="R101" s="3"/>
      <c r="S101" s="3"/>
      <c r="T101" s="31" t="s">
        <v>159</v>
      </c>
      <c r="U101" s="52">
        <f>'Referenz Pflasterwerk'!AB28</f>
        <v>263015.57401117252</v>
      </c>
      <c r="V101" s="52">
        <f>S189</f>
        <v>455623.90625092876</v>
      </c>
      <c r="W101" s="52">
        <f>S267</f>
        <v>778027.03832663619</v>
      </c>
      <c r="X101" s="3"/>
      <c r="Y101" s="115"/>
      <c r="Z101" s="115"/>
      <c r="AA101" s="63"/>
    </row>
    <row r="102" spans="2:27" ht="16.5" thickBot="1" x14ac:dyDescent="0.35">
      <c r="B102" s="3"/>
      <c r="C102" s="3"/>
      <c r="D102" s="3"/>
      <c r="E102" s="3"/>
      <c r="F102" s="3"/>
      <c r="G102" s="3"/>
      <c r="H102" s="3"/>
      <c r="I102" s="3"/>
      <c r="J102" s="3"/>
      <c r="K102" s="3"/>
      <c r="L102" s="29" t="s">
        <v>35</v>
      </c>
      <c r="M102" s="32">
        <f>'Referenz Pflasterwerk'!$U$28+'Referenz Pflasterwerk'!$U$29</f>
        <v>95.691080159999984</v>
      </c>
      <c r="N102" s="32">
        <f>J178+J179</f>
        <v>95.691080159999984</v>
      </c>
      <c r="O102" s="32">
        <f>J256+J257</f>
        <v>95.691080159999984</v>
      </c>
      <c r="P102" s="25" t="s">
        <v>164</v>
      </c>
      <c r="Q102" s="3"/>
      <c r="R102" s="3"/>
      <c r="S102" s="3"/>
      <c r="T102" s="27" t="s">
        <v>70</v>
      </c>
      <c r="U102" s="56">
        <f>U98+U97+U96+U95+U87</f>
        <v>445512.09601517254</v>
      </c>
      <c r="V102" s="56">
        <f t="shared" ref="V102:W102" si="3">V98+V97+V96+V95+V87</f>
        <v>642456.8793897822</v>
      </c>
      <c r="W102" s="56">
        <f t="shared" si="3"/>
        <v>967431.11605225096</v>
      </c>
      <c r="X102" s="3"/>
      <c r="Y102" s="115"/>
      <c r="Z102" s="115"/>
      <c r="AA102" s="63"/>
    </row>
    <row r="103" spans="2:27" ht="15.75" thickTop="1" thickBot="1" x14ac:dyDescent="0.3">
      <c r="B103" s="3"/>
      <c r="C103" s="3"/>
      <c r="D103" s="3"/>
      <c r="E103" s="3"/>
      <c r="F103" s="3"/>
      <c r="G103" s="3"/>
      <c r="H103" s="3"/>
      <c r="I103" s="3"/>
      <c r="J103" s="3"/>
      <c r="K103" s="3"/>
      <c r="L103" s="27" t="s">
        <v>70</v>
      </c>
      <c r="M103" s="33">
        <f>SUM(M96:M102)</f>
        <v>393.10088015999997</v>
      </c>
      <c r="N103" s="33">
        <f>SUM(N96:N102)</f>
        <v>314.75495864118898</v>
      </c>
      <c r="O103" s="33">
        <f>SUM(O96:O102)</f>
        <v>209.18847157018428</v>
      </c>
      <c r="P103" s="27" t="s">
        <v>165</v>
      </c>
      <c r="Q103" s="3"/>
      <c r="R103" s="3"/>
      <c r="S103" s="3"/>
      <c r="T103" s="3"/>
      <c r="U103" s="3"/>
      <c r="V103" s="3"/>
      <c r="W103" s="3"/>
      <c r="X103" s="3"/>
      <c r="Y103" s="63"/>
      <c r="Z103" s="63"/>
      <c r="AA103" s="63"/>
    </row>
    <row r="104" spans="2:27" ht="17.25" thickTop="1" thickBot="1" x14ac:dyDescent="0.35">
      <c r="B104" s="3"/>
      <c r="C104" s="3"/>
      <c r="D104" s="3"/>
      <c r="E104" s="3"/>
      <c r="F104" s="3"/>
      <c r="G104" s="3"/>
      <c r="H104" s="3"/>
      <c r="I104" s="3"/>
      <c r="J104" s="3"/>
      <c r="K104" s="3"/>
      <c r="L104" s="3"/>
      <c r="M104" s="3"/>
      <c r="N104" s="3"/>
      <c r="O104" s="3"/>
      <c r="P104" s="3"/>
      <c r="Q104" s="3"/>
      <c r="R104" s="3"/>
      <c r="S104" s="3"/>
      <c r="T104" s="104" t="s">
        <v>211</v>
      </c>
      <c r="U104" s="105">
        <f>U102-U101</f>
        <v>182496.52200400003</v>
      </c>
      <c r="V104" s="105">
        <f>V102-V101</f>
        <v>186832.97313885344</v>
      </c>
      <c r="W104" s="105">
        <f>W102-W101</f>
        <v>189404.07772561477</v>
      </c>
      <c r="X104" s="3"/>
      <c r="Y104" s="3"/>
      <c r="Z104" s="3"/>
      <c r="AA104" s="3"/>
    </row>
    <row r="105" spans="2:27" ht="16.5" thickBot="1" x14ac:dyDescent="0.35">
      <c r="B105" s="3"/>
      <c r="C105" s="3"/>
      <c r="D105" s="3"/>
      <c r="E105" s="3"/>
      <c r="F105" s="3"/>
      <c r="G105" s="3"/>
      <c r="H105" s="3"/>
      <c r="I105" s="3"/>
      <c r="J105" s="3"/>
      <c r="K105" s="3"/>
      <c r="L105" s="3"/>
      <c r="M105" s="3"/>
      <c r="N105" s="3"/>
      <c r="O105" s="3"/>
      <c r="P105" s="3"/>
      <c r="Q105" s="3"/>
      <c r="R105" s="3"/>
      <c r="S105" s="3"/>
      <c r="T105" s="106" t="s">
        <v>161</v>
      </c>
      <c r="U105" s="107">
        <f>U102-U98</f>
        <v>172669</v>
      </c>
      <c r="V105" s="107">
        <f>V102-V98</f>
        <v>172668.99999999994</v>
      </c>
      <c r="W105" s="107">
        <f>W102-W98</f>
        <v>172669</v>
      </c>
      <c r="X105" s="3"/>
      <c r="Y105" s="3"/>
      <c r="Z105" s="3"/>
      <c r="AA105" s="3"/>
    </row>
    <row r="106" spans="2:27" x14ac:dyDescent="0.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2:27"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2:27" x14ac:dyDescent="0.2">
      <c r="B108" s="3"/>
      <c r="C108" s="3"/>
      <c r="D108" s="3"/>
      <c r="E108" s="3"/>
      <c r="F108" s="3"/>
      <c r="G108" s="3"/>
      <c r="H108" s="3"/>
      <c r="I108" s="3"/>
      <c r="J108" s="3"/>
      <c r="K108" s="3"/>
      <c r="L108" s="8"/>
      <c r="M108" s="82"/>
      <c r="N108" s="82"/>
      <c r="O108" s="82"/>
      <c r="P108" s="8"/>
      <c r="Q108" s="3"/>
      <c r="R108" s="3"/>
      <c r="S108" s="3"/>
      <c r="T108" s="3"/>
      <c r="U108" s="3"/>
      <c r="V108" s="3"/>
      <c r="W108" s="3"/>
      <c r="X108" s="3"/>
      <c r="Y108" s="3"/>
      <c r="Z108" s="3"/>
      <c r="AA108" s="3"/>
    </row>
    <row r="109" spans="2:27" x14ac:dyDescent="0.2">
      <c r="B109" s="3"/>
      <c r="C109" s="3"/>
      <c r="D109" s="3"/>
      <c r="E109" s="3"/>
      <c r="F109" s="3"/>
      <c r="G109" s="3"/>
      <c r="H109" s="3"/>
      <c r="I109" s="3"/>
      <c r="J109" s="3"/>
      <c r="K109" s="3"/>
      <c r="L109" s="8"/>
      <c r="M109" s="82"/>
      <c r="N109" s="82"/>
      <c r="O109" s="82"/>
      <c r="P109" s="8"/>
      <c r="Q109" s="3"/>
      <c r="R109" s="3"/>
      <c r="S109" s="3"/>
      <c r="T109" s="3"/>
      <c r="U109" s="3"/>
      <c r="V109" s="3"/>
      <c r="W109" s="3"/>
      <c r="X109" s="3"/>
      <c r="Y109" s="3"/>
      <c r="Z109" s="3"/>
      <c r="AA109" s="3"/>
    </row>
    <row r="110" spans="2:27" ht="15" x14ac:dyDescent="0.25">
      <c r="B110" s="3"/>
      <c r="C110" s="3"/>
      <c r="D110" s="3"/>
      <c r="E110" s="3"/>
      <c r="F110" s="3"/>
      <c r="G110" s="3"/>
      <c r="H110" s="3"/>
      <c r="I110" s="3"/>
      <c r="J110" s="3"/>
      <c r="K110" s="3"/>
      <c r="L110" s="23" t="s">
        <v>209</v>
      </c>
      <c r="M110" s="3"/>
      <c r="N110" s="3"/>
      <c r="O110" s="3"/>
      <c r="P110" s="3"/>
      <c r="Q110" s="3"/>
      <c r="R110" s="3"/>
      <c r="S110" s="3"/>
      <c r="T110" s="3"/>
      <c r="U110" s="3"/>
      <c r="V110" s="3"/>
      <c r="W110" s="3"/>
      <c r="X110" s="3"/>
      <c r="Y110" s="3"/>
      <c r="Z110" s="3"/>
      <c r="AA110" s="3"/>
    </row>
    <row r="111" spans="2:27" ht="15" x14ac:dyDescent="0.25">
      <c r="B111" s="3"/>
      <c r="C111" s="3"/>
      <c r="D111" s="3"/>
      <c r="E111" s="3"/>
      <c r="F111" s="3"/>
      <c r="G111" s="3"/>
      <c r="H111" s="3"/>
      <c r="I111" s="3"/>
      <c r="J111" s="3"/>
      <c r="K111" s="3"/>
      <c r="L111" s="34"/>
      <c r="M111" s="46">
        <v>2020</v>
      </c>
      <c r="N111" s="47">
        <v>2025</v>
      </c>
      <c r="O111" s="47">
        <v>2030</v>
      </c>
      <c r="P111" s="34"/>
      <c r="Q111" s="3"/>
      <c r="R111" s="3"/>
      <c r="S111" s="3"/>
      <c r="T111" s="3"/>
      <c r="U111" s="3"/>
      <c r="V111" s="3"/>
      <c r="W111" s="3"/>
      <c r="X111" s="3"/>
      <c r="Y111" s="3"/>
      <c r="Z111" s="3"/>
      <c r="AA111" s="3"/>
    </row>
    <row r="112" spans="2:27" x14ac:dyDescent="0.2">
      <c r="B112" s="3"/>
      <c r="C112" s="3"/>
      <c r="D112" s="3"/>
      <c r="E112" s="3"/>
      <c r="F112" s="3"/>
      <c r="G112" s="3"/>
      <c r="H112" s="3"/>
      <c r="I112" s="3"/>
      <c r="J112" s="3"/>
      <c r="K112" s="3"/>
      <c r="L112" s="24"/>
      <c r="M112" s="48" t="s">
        <v>92</v>
      </c>
      <c r="N112" s="49"/>
      <c r="O112" s="49"/>
      <c r="P112" s="24"/>
      <c r="Q112" s="3"/>
      <c r="R112" s="3"/>
      <c r="S112" s="3"/>
      <c r="T112" s="3"/>
      <c r="U112" s="3"/>
      <c r="V112" s="3"/>
      <c r="W112" s="3"/>
      <c r="X112" s="3"/>
      <c r="Y112" s="3"/>
      <c r="Z112" s="3"/>
      <c r="AA112" s="3"/>
    </row>
    <row r="113" spans="2:27" ht="15.75" x14ac:dyDescent="0.3">
      <c r="B113" s="3"/>
      <c r="C113" s="3"/>
      <c r="D113" s="3"/>
      <c r="E113" s="3"/>
      <c r="F113" s="3"/>
      <c r="G113" s="3"/>
      <c r="H113" s="3"/>
      <c r="I113" s="3"/>
      <c r="J113" s="3"/>
      <c r="K113" s="3"/>
      <c r="L113" s="29" t="s">
        <v>118</v>
      </c>
      <c r="M113" s="97">
        <f>M87/IF(NOT(ISBLANK('Referenz Pflasterwerk'!$I$12)),'Referenz Pflasterwerk'!$I$12,'Referenz Pflasterwerk'!$F$12)</f>
        <v>1.0660088015999999E-3</v>
      </c>
      <c r="N113" s="97">
        <f>N87/IF(NOT(ISBLANK('Referenz Pflasterwerk'!$I$12)),'Referenz Pflasterwerk'!$I$12,'Referenz Pflasterwerk'!$F$12)</f>
        <v>1.0660088015999999E-3</v>
      </c>
      <c r="O113" s="97">
        <f>O87/IF(NOT(ISBLANK('Referenz Pflasterwerk'!$I$12)),'Referenz Pflasterwerk'!$I$12,'Referenz Pflasterwerk'!$F$12)</f>
        <v>1.0660088015999999E-3</v>
      </c>
      <c r="P113" s="25" t="s">
        <v>208</v>
      </c>
      <c r="Q113" s="3"/>
      <c r="R113" s="3"/>
      <c r="S113" s="3"/>
      <c r="T113" s="3"/>
      <c r="U113" s="3"/>
      <c r="V113" s="3"/>
      <c r="W113" s="3"/>
      <c r="X113" s="3"/>
      <c r="Y113" s="3"/>
      <c r="Z113" s="3"/>
      <c r="AA113" s="3"/>
    </row>
    <row r="114" spans="2:27" ht="15.75" x14ac:dyDescent="0.3">
      <c r="B114" s="3"/>
      <c r="C114" s="3"/>
      <c r="D114" s="3"/>
      <c r="E114" s="3"/>
      <c r="F114" s="3"/>
      <c r="G114" s="3"/>
      <c r="H114" s="3"/>
      <c r="I114" s="3"/>
      <c r="J114" s="3"/>
      <c r="K114" s="3"/>
      <c r="L114" s="8" t="s">
        <v>28</v>
      </c>
      <c r="M114" s="98">
        <f>M88/IF(NOT(ISBLANK('Referenz Pflasterwerk'!$I$12)),'Referenz Pflasterwerk'!$I$12,'Referenz Pflasterwerk'!$F$12)</f>
        <v>2.8649999999999999E-3</v>
      </c>
      <c r="N114" s="98">
        <f>N88/IF(NOT(ISBLANK('Referenz Pflasterwerk'!$I$12)),'Referenz Pflasterwerk'!$I$12,'Referenz Pflasterwerk'!$F$12)</f>
        <v>2.0815407848118897E-3</v>
      </c>
      <c r="O114" s="98">
        <f>O88/IF(NOT(ISBLANK('Referenz Pflasterwerk'!$I$12)),'Referenz Pflasterwerk'!$I$12,'Referenz Pflasterwerk'!$F$12)</f>
        <v>1.0258759141018427E-3</v>
      </c>
      <c r="P114" s="3" t="s">
        <v>208</v>
      </c>
      <c r="Q114" s="3"/>
      <c r="R114" s="3"/>
      <c r="S114" s="3"/>
      <c r="T114" s="3"/>
      <c r="U114" s="3"/>
      <c r="V114" s="3"/>
      <c r="W114" s="3"/>
      <c r="X114" s="3"/>
      <c r="Y114" s="3"/>
      <c r="Z114" s="3"/>
      <c r="AA114" s="3"/>
    </row>
    <row r="115" spans="2:27" ht="15.75" x14ac:dyDescent="0.3">
      <c r="B115" s="3"/>
      <c r="C115" s="3"/>
      <c r="D115" s="3"/>
      <c r="E115" s="3"/>
      <c r="F115" s="3"/>
      <c r="G115" s="3"/>
      <c r="H115" s="3"/>
      <c r="I115" s="3"/>
      <c r="J115" s="3"/>
      <c r="K115" s="3"/>
      <c r="L115" s="29" t="s">
        <v>29</v>
      </c>
      <c r="M115" s="97">
        <f>M89/IF(NOT(ISBLANK('Referenz Pflasterwerk'!$I$12)),'Referenz Pflasterwerk'!$I$12,'Referenz Pflasterwerk'!$F$12)</f>
        <v>0.10520622960446901</v>
      </c>
      <c r="N115" s="97">
        <f>N89/IF(NOT(ISBLANK('Referenz Pflasterwerk'!$I$12)),'Referenz Pflasterwerk'!$I$12,'Referenz Pflasterwerk'!$F$12)</f>
        <v>0.10124975694465084</v>
      </c>
      <c r="O115" s="97">
        <f>O89/IF(NOT(ISBLANK('Referenz Pflasterwerk'!$I$12)),'Referenz Pflasterwerk'!$I$12,'Referenz Pflasterwerk'!$F$12)</f>
        <v>9.7253379790829528E-2</v>
      </c>
      <c r="P115" s="25" t="s">
        <v>208</v>
      </c>
      <c r="Q115" s="3"/>
      <c r="R115" s="3"/>
      <c r="S115" s="3"/>
      <c r="T115" s="3"/>
      <c r="U115" s="3"/>
      <c r="V115" s="3"/>
      <c r="W115" s="3"/>
      <c r="X115" s="3"/>
      <c r="Y115" s="3"/>
      <c r="Z115" s="3"/>
      <c r="AA115" s="3"/>
    </row>
    <row r="116" spans="2:27" ht="15" thickBot="1" x14ac:dyDescent="0.3">
      <c r="B116" s="3"/>
      <c r="C116" s="3"/>
      <c r="D116" s="3"/>
      <c r="E116" s="3"/>
      <c r="F116" s="3"/>
      <c r="G116" s="3"/>
      <c r="H116" s="3"/>
      <c r="I116" s="3"/>
      <c r="J116" s="3"/>
      <c r="K116" s="3"/>
      <c r="L116" s="27" t="s">
        <v>70</v>
      </c>
      <c r="M116" s="99">
        <f>M90/IF(NOT(ISBLANK('Referenz Pflasterwerk'!$I$12)),'Referenz Pflasterwerk'!$I$12,'Referenz Pflasterwerk'!$F$12)</f>
        <v>0.10913723840606901</v>
      </c>
      <c r="N116" s="99">
        <f>N90/IF(NOT(ISBLANK('Referenz Pflasterwerk'!$I$12)),'Referenz Pflasterwerk'!$I$12,'Referenz Pflasterwerk'!$F$12)</f>
        <v>0.10439730653106273</v>
      </c>
      <c r="O116" s="99">
        <f>O90/IF(NOT(ISBLANK('Referenz Pflasterwerk'!$I$12)),'Referenz Pflasterwerk'!$I$12,'Referenz Pflasterwerk'!$F$12)</f>
        <v>9.9345264506531361E-2</v>
      </c>
      <c r="P116" s="27" t="s">
        <v>210</v>
      </c>
      <c r="Q116" s="3"/>
      <c r="R116" s="3"/>
      <c r="S116" s="3"/>
      <c r="T116" s="3"/>
      <c r="U116" s="3"/>
      <c r="V116" s="3"/>
      <c r="W116" s="3"/>
      <c r="X116" s="3"/>
      <c r="Y116" s="3"/>
      <c r="Z116" s="3"/>
      <c r="AA116" s="3"/>
    </row>
    <row r="117" spans="2:27" ht="13.5" thickTop="1"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2:27"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2:27"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2" spans="2:27" hidden="1" outlineLevel="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2:27" ht="15.75" hidden="1" outlineLevel="1" x14ac:dyDescent="0.25">
      <c r="B123" s="3"/>
      <c r="C123" s="3"/>
      <c r="D123" s="62" t="s">
        <v>146</v>
      </c>
      <c r="E123" s="3"/>
      <c r="F123" s="3"/>
      <c r="G123" s="3"/>
      <c r="H123" s="3"/>
      <c r="I123" s="3"/>
      <c r="J123" s="3"/>
      <c r="K123" s="3"/>
      <c r="L123" s="62" t="s">
        <v>146</v>
      </c>
      <c r="M123" s="3"/>
      <c r="N123" s="3"/>
      <c r="O123" s="3"/>
      <c r="P123" s="3"/>
      <c r="Q123" s="3"/>
      <c r="R123" s="3"/>
      <c r="S123" s="62" t="s">
        <v>146</v>
      </c>
      <c r="T123" s="24"/>
      <c r="U123" s="24"/>
      <c r="V123" s="24"/>
      <c r="W123" s="24"/>
      <c r="X123" s="3"/>
      <c r="Y123" s="3"/>
    </row>
    <row r="124" spans="2:27" ht="15" hidden="1" outlineLevel="1" x14ac:dyDescent="0.25">
      <c r="B124" s="3"/>
      <c r="C124" s="3"/>
      <c r="D124" s="35" t="s">
        <v>116</v>
      </c>
      <c r="E124" s="35">
        <v>2020</v>
      </c>
      <c r="F124" s="35">
        <v>2025</v>
      </c>
      <c r="G124" s="35">
        <v>2030</v>
      </c>
      <c r="H124" s="34"/>
      <c r="I124" s="3"/>
      <c r="J124" s="3"/>
      <c r="K124" s="3"/>
      <c r="L124" s="35" t="s">
        <v>265</v>
      </c>
      <c r="M124" s="35">
        <v>2020</v>
      </c>
      <c r="N124" s="35">
        <v>2025</v>
      </c>
      <c r="O124" s="35">
        <v>2030</v>
      </c>
      <c r="P124" s="34"/>
      <c r="Q124" s="3"/>
      <c r="R124" s="3"/>
      <c r="S124" s="3"/>
      <c r="T124" s="46" t="s">
        <v>200</v>
      </c>
      <c r="U124" s="47">
        <v>2020</v>
      </c>
      <c r="V124" s="47">
        <v>2025</v>
      </c>
      <c r="W124" s="47">
        <v>2030</v>
      </c>
      <c r="X124" s="3"/>
      <c r="Y124" s="3"/>
    </row>
    <row r="125" spans="2:27" hidden="1" outlineLevel="1" x14ac:dyDescent="0.2">
      <c r="B125" s="3"/>
      <c r="C125" s="3"/>
      <c r="D125" s="24"/>
      <c r="E125" s="60" t="s">
        <v>92</v>
      </c>
      <c r="F125" s="59"/>
      <c r="G125" s="59"/>
      <c r="H125" s="24"/>
      <c r="I125" s="3"/>
      <c r="J125" s="3"/>
      <c r="K125" s="3"/>
      <c r="L125" s="24"/>
      <c r="M125" s="60" t="s">
        <v>92</v>
      </c>
      <c r="N125" s="59"/>
      <c r="O125" s="59"/>
      <c r="P125" s="24"/>
      <c r="Q125" s="3"/>
      <c r="R125" s="3"/>
      <c r="S125" s="3"/>
      <c r="T125" s="24"/>
      <c r="U125" s="50" t="s">
        <v>92</v>
      </c>
      <c r="V125" s="50"/>
      <c r="W125" s="59"/>
      <c r="X125" s="3"/>
      <c r="Y125" s="3"/>
    </row>
    <row r="126" spans="2:27" ht="15.75" hidden="1" outlineLevel="1" x14ac:dyDescent="0.3">
      <c r="B126" s="3"/>
      <c r="C126" s="3"/>
      <c r="D126" s="3" t="str">
        <f t="shared" ref="D126:D132" si="4">IF($I126,L96,"")</f>
        <v>Erdgas</v>
      </c>
      <c r="E126" s="10">
        <f t="shared" ref="E126:G132" si="5">IF($I126,M96,NA())</f>
        <v>8.2422000000000004</v>
      </c>
      <c r="F126" s="10">
        <f t="shared" si="5"/>
        <v>8.2422000000000004</v>
      </c>
      <c r="G126" s="10">
        <f t="shared" si="5"/>
        <v>8.2422000000000004</v>
      </c>
      <c r="H126" s="3" t="s">
        <v>164</v>
      </c>
      <c r="I126" s="3" t="b">
        <v>1</v>
      </c>
      <c r="J126" s="3"/>
      <c r="K126" s="3"/>
      <c r="L126" s="3" t="str">
        <f t="shared" ref="L126:L137" si="6">IF($Q126,D87,"")</f>
        <v>Energieträger gesamt</v>
      </c>
      <c r="M126" s="9">
        <f t="shared" ref="M126:O137" si="7">IF($Q126,E87,NA())</f>
        <v>60.712972560000004</v>
      </c>
      <c r="N126" s="9">
        <f t="shared" si="7"/>
        <v>49.22770657818478</v>
      </c>
      <c r="O126" s="9">
        <f t="shared" si="7"/>
        <v>33.751991196047953</v>
      </c>
      <c r="P126" s="3" t="s">
        <v>164</v>
      </c>
      <c r="Q126" s="361" t="b">
        <v>1</v>
      </c>
      <c r="R126" s="3"/>
      <c r="S126" s="3"/>
      <c r="T126" s="57" t="s">
        <v>160</v>
      </c>
      <c r="U126" s="58">
        <f>SUM(U127:U133)</f>
        <v>172669</v>
      </c>
      <c r="V126" s="58">
        <f t="shared" ref="V126:W126" si="8">SUM(V127:V133)</f>
        <v>172669</v>
      </c>
      <c r="W126" s="58">
        <f t="shared" si="8"/>
        <v>172669</v>
      </c>
      <c r="X126" s="3"/>
      <c r="Y126" s="3"/>
    </row>
    <row r="127" spans="2:27" ht="15.75" hidden="1" outlineLevel="1" x14ac:dyDescent="0.3">
      <c r="B127" s="3"/>
      <c r="C127" s="3"/>
      <c r="D127" s="3" t="str">
        <f t="shared" si="4"/>
        <v>Heizöl</v>
      </c>
      <c r="E127" s="10">
        <f t="shared" si="5"/>
        <v>2.6676000000000002</v>
      </c>
      <c r="F127" s="10">
        <f t="shared" si="5"/>
        <v>2.6676000000000002</v>
      </c>
      <c r="G127" s="10">
        <f t="shared" si="5"/>
        <v>2.6676000000000002</v>
      </c>
      <c r="H127" s="3" t="s">
        <v>164</v>
      </c>
      <c r="I127" s="3" t="b">
        <v>1</v>
      </c>
      <c r="J127" s="3"/>
      <c r="K127" s="3"/>
      <c r="L127" s="3" t="str">
        <f t="shared" si="6"/>
        <v>Transport gesamt</v>
      </c>
      <c r="M127" s="9">
        <f t="shared" si="7"/>
        <v>578.62626120000004</v>
      </c>
      <c r="N127" s="9">
        <f t="shared" si="7"/>
        <v>578.62626120000004</v>
      </c>
      <c r="O127" s="9">
        <f t="shared" si="7"/>
        <v>578.62626120000004</v>
      </c>
      <c r="P127" s="3" t="s">
        <v>164</v>
      </c>
      <c r="Q127" s="361" t="b">
        <v>1</v>
      </c>
      <c r="R127" s="3"/>
      <c r="S127" s="3"/>
      <c r="T127" s="31" t="s">
        <v>32</v>
      </c>
      <c r="U127" s="52">
        <f>U88</f>
        <v>2745</v>
      </c>
      <c r="V127" s="52">
        <f t="shared" ref="V127:W127" si="9">V88</f>
        <v>2745</v>
      </c>
      <c r="W127" s="52">
        <f t="shared" si="9"/>
        <v>2745</v>
      </c>
      <c r="X127" s="3"/>
      <c r="Y127" s="3"/>
    </row>
    <row r="128" spans="2:27" ht="15.75" hidden="1" outlineLevel="1" x14ac:dyDescent="0.3">
      <c r="B128" s="3"/>
      <c r="C128" s="3"/>
      <c r="D128" s="3" t="str">
        <f t="shared" si="4"/>
        <v>Strom</v>
      </c>
      <c r="E128" s="10">
        <f t="shared" si="5"/>
        <v>286.5</v>
      </c>
      <c r="F128" s="10">
        <f t="shared" si="5"/>
        <v>208.15407848118898</v>
      </c>
      <c r="G128" s="10">
        <f t="shared" si="5"/>
        <v>102.58759141018427</v>
      </c>
      <c r="H128" s="3" t="s">
        <v>164</v>
      </c>
      <c r="I128" s="3" t="b">
        <v>1</v>
      </c>
      <c r="J128" s="3"/>
      <c r="K128" s="3"/>
      <c r="L128" s="3" t="str">
        <f t="shared" si="6"/>
        <v>Zement</v>
      </c>
      <c r="M128" s="9">
        <f t="shared" si="7"/>
        <v>7683.24</v>
      </c>
      <c r="N128" s="9">
        <f t="shared" si="7"/>
        <v>7299.0780000000004</v>
      </c>
      <c r="O128" s="9">
        <f t="shared" si="7"/>
        <v>6914.9160000000002</v>
      </c>
      <c r="P128" s="3" t="s">
        <v>164</v>
      </c>
      <c r="Q128" s="361" t="b">
        <v>1</v>
      </c>
      <c r="R128" s="3"/>
      <c r="S128" s="3"/>
      <c r="T128" s="31" t="s">
        <v>33</v>
      </c>
      <c r="U128" s="52">
        <f t="shared" ref="U128:W133" si="10">U89</f>
        <v>460</v>
      </c>
      <c r="V128" s="52">
        <f t="shared" si="10"/>
        <v>460</v>
      </c>
      <c r="W128" s="52">
        <f t="shared" si="10"/>
        <v>460</v>
      </c>
      <c r="X128" s="3"/>
      <c r="Y128" s="3"/>
    </row>
    <row r="129" spans="2:25" ht="15.75" hidden="1" outlineLevel="1" x14ac:dyDescent="0.3">
      <c r="B129" s="3"/>
      <c r="C129" s="3"/>
      <c r="D129" s="3" t="str">
        <f t="shared" si="4"/>
        <v/>
      </c>
      <c r="E129" s="10" t="e">
        <f t="shared" si="5"/>
        <v>#N/A</v>
      </c>
      <c r="F129" s="10" t="e">
        <f t="shared" si="5"/>
        <v>#N/A</v>
      </c>
      <c r="G129" s="10" t="e">
        <f t="shared" si="5"/>
        <v>#N/A</v>
      </c>
      <c r="H129" s="3" t="s">
        <v>164</v>
      </c>
      <c r="I129" s="3" t="b">
        <v>0</v>
      </c>
      <c r="J129" s="3"/>
      <c r="K129" s="3"/>
      <c r="L129" s="3" t="str">
        <f t="shared" si="6"/>
        <v>Gesteinskörnungen (Zuschlagsstoffe)</v>
      </c>
      <c r="M129" s="9">
        <f t="shared" si="7"/>
        <v>387.03000000000003</v>
      </c>
      <c r="N129" s="9">
        <f t="shared" si="7"/>
        <v>387.03000000000003</v>
      </c>
      <c r="O129" s="9">
        <f t="shared" si="7"/>
        <v>387.03000000000003</v>
      </c>
      <c r="P129" s="3" t="s">
        <v>164</v>
      </c>
      <c r="Q129" s="361" t="b">
        <v>1</v>
      </c>
      <c r="R129" s="3"/>
      <c r="S129" s="3"/>
      <c r="T129" s="31" t="s">
        <v>34</v>
      </c>
      <c r="U129" s="52">
        <f t="shared" si="10"/>
        <v>129000</v>
      </c>
      <c r="V129" s="52">
        <f t="shared" si="10"/>
        <v>129000</v>
      </c>
      <c r="W129" s="52">
        <f t="shared" si="10"/>
        <v>129000</v>
      </c>
      <c r="X129" s="3"/>
      <c r="Y129" s="3"/>
    </row>
    <row r="130" spans="2:25" ht="15.75" hidden="1" outlineLevel="1" x14ac:dyDescent="0.3">
      <c r="B130" s="3"/>
      <c r="C130" s="3"/>
      <c r="D130" s="3" t="str">
        <f t="shared" si="4"/>
        <v/>
      </c>
      <c r="E130" s="10" t="e">
        <f t="shared" si="5"/>
        <v>#N/A</v>
      </c>
      <c r="F130" s="10" t="e">
        <f t="shared" si="5"/>
        <v>#N/A</v>
      </c>
      <c r="G130" s="10" t="e">
        <f t="shared" si="5"/>
        <v>#N/A</v>
      </c>
      <c r="H130" s="3" t="s">
        <v>164</v>
      </c>
      <c r="I130" s="3" t="b">
        <v>0</v>
      </c>
      <c r="J130" s="3"/>
      <c r="K130" s="3"/>
      <c r="L130" s="3" t="str">
        <f t="shared" si="6"/>
        <v>Farben</v>
      </c>
      <c r="M130" s="9">
        <f t="shared" si="7"/>
        <v>1040</v>
      </c>
      <c r="N130" s="9">
        <f t="shared" si="7"/>
        <v>1040</v>
      </c>
      <c r="O130" s="9">
        <f t="shared" si="7"/>
        <v>1040</v>
      </c>
      <c r="P130" s="3" t="s">
        <v>164</v>
      </c>
      <c r="Q130" s="361" t="b">
        <v>1</v>
      </c>
      <c r="R130" s="3"/>
      <c r="S130" s="3"/>
      <c r="T130" s="31" t="s">
        <v>125</v>
      </c>
      <c r="U130" s="52">
        <f t="shared" si="10"/>
        <v>0</v>
      </c>
      <c r="V130" s="52">
        <f t="shared" si="10"/>
        <v>0</v>
      </c>
      <c r="W130" s="52">
        <f t="shared" si="10"/>
        <v>0</v>
      </c>
      <c r="X130" s="3"/>
      <c r="Y130" s="3"/>
    </row>
    <row r="131" spans="2:25" ht="15.75" hidden="1" outlineLevel="1" x14ac:dyDescent="0.3">
      <c r="B131" s="3"/>
      <c r="C131" s="3"/>
      <c r="D131" s="3" t="str">
        <f t="shared" si="4"/>
        <v/>
      </c>
      <c r="E131" s="10" t="e">
        <f t="shared" si="5"/>
        <v>#N/A</v>
      </c>
      <c r="F131" s="10" t="e">
        <f t="shared" si="5"/>
        <v>#N/A</v>
      </c>
      <c r="G131" s="10" t="e">
        <f t="shared" si="5"/>
        <v>#N/A</v>
      </c>
      <c r="H131" s="3" t="s">
        <v>164</v>
      </c>
      <c r="I131" s="3" t="b">
        <v>0</v>
      </c>
      <c r="J131" s="3"/>
      <c r="K131" s="3"/>
      <c r="L131" s="3" t="str">
        <f t="shared" si="6"/>
        <v>Zusatzstoffe (Füllstoffe)</v>
      </c>
      <c r="M131" s="9">
        <f t="shared" si="7"/>
        <v>424.19999999999993</v>
      </c>
      <c r="N131" s="9">
        <f t="shared" si="7"/>
        <v>424.19999999999993</v>
      </c>
      <c r="O131" s="9">
        <f t="shared" si="7"/>
        <v>424.19999999999993</v>
      </c>
      <c r="P131" s="3" t="s">
        <v>164</v>
      </c>
      <c r="Q131" s="361" t="b">
        <v>1</v>
      </c>
      <c r="R131" s="3"/>
      <c r="S131" s="3"/>
      <c r="T131" s="31" t="s">
        <v>126</v>
      </c>
      <c r="U131" s="52">
        <f t="shared" si="10"/>
        <v>0</v>
      </c>
      <c r="V131" s="52">
        <f t="shared" si="10"/>
        <v>0</v>
      </c>
      <c r="W131" s="52">
        <f t="shared" si="10"/>
        <v>0</v>
      </c>
      <c r="X131" s="3"/>
      <c r="Y131" s="3"/>
    </row>
    <row r="132" spans="2:25" ht="15.75" hidden="1" outlineLevel="1" x14ac:dyDescent="0.3">
      <c r="B132" s="3"/>
      <c r="C132" s="3"/>
      <c r="D132" s="3" t="str">
        <f t="shared" si="4"/>
        <v>Diesel</v>
      </c>
      <c r="E132" s="10">
        <f t="shared" si="5"/>
        <v>95.691080159999984</v>
      </c>
      <c r="F132" s="10">
        <f t="shared" si="5"/>
        <v>95.691080159999984</v>
      </c>
      <c r="G132" s="10">
        <f t="shared" si="5"/>
        <v>95.691080159999984</v>
      </c>
      <c r="H132" s="3" t="s">
        <v>164</v>
      </c>
      <c r="I132" s="3" t="b">
        <v>1</v>
      </c>
      <c r="J132" s="3"/>
      <c r="K132" s="3"/>
      <c r="L132" s="3" t="str">
        <f t="shared" si="6"/>
        <v>Zusatzmittel</v>
      </c>
      <c r="M132" s="9">
        <f t="shared" si="7"/>
        <v>185.55932668689491</v>
      </c>
      <c r="N132" s="9">
        <f t="shared" si="7"/>
        <v>185.55932668689491</v>
      </c>
      <c r="O132" s="9">
        <f t="shared" si="7"/>
        <v>185.55932668689491</v>
      </c>
      <c r="P132" s="3" t="s">
        <v>164</v>
      </c>
      <c r="Q132" s="361" t="b">
        <v>1</v>
      </c>
      <c r="R132" s="3"/>
      <c r="S132" s="3"/>
      <c r="T132" s="31" t="s">
        <v>127</v>
      </c>
      <c r="U132" s="52">
        <f t="shared" si="10"/>
        <v>0</v>
      </c>
      <c r="V132" s="52">
        <f t="shared" si="10"/>
        <v>0</v>
      </c>
      <c r="W132" s="52">
        <f t="shared" si="10"/>
        <v>0</v>
      </c>
      <c r="X132" s="3"/>
      <c r="Y132" s="3"/>
    </row>
    <row r="133" spans="2:25" ht="16.5" hidden="1" outlineLevel="1" thickBot="1" x14ac:dyDescent="0.35">
      <c r="B133" s="3"/>
      <c r="C133" s="3"/>
      <c r="D133" s="27" t="s">
        <v>70</v>
      </c>
      <c r="E133" s="33">
        <f>SUMIF($I$126:$I$132,"WAHR",E126:E132)</f>
        <v>393.10088015999997</v>
      </c>
      <c r="F133" s="33">
        <f>SUMIF($I$126:$I$132,"WAHR",F126:F132)</f>
        <v>314.75495864118898</v>
      </c>
      <c r="G133" s="33">
        <f>SUMIF($I$126:$I$132,"WAHR",G126:G132)</f>
        <v>209.18847157018428</v>
      </c>
      <c r="H133" s="27" t="s">
        <v>165</v>
      </c>
      <c r="I133" s="3"/>
      <c r="J133" s="3"/>
      <c r="K133" s="3"/>
      <c r="L133" s="3" t="str">
        <f t="shared" si="6"/>
        <v/>
      </c>
      <c r="M133" s="9" t="e">
        <f t="shared" si="7"/>
        <v>#N/A</v>
      </c>
      <c r="N133" s="9" t="e">
        <f t="shared" si="7"/>
        <v>#N/A</v>
      </c>
      <c r="O133" s="9" t="e">
        <f t="shared" si="7"/>
        <v>#N/A</v>
      </c>
      <c r="P133" s="3" t="s">
        <v>164</v>
      </c>
      <c r="Q133" s="361" t="b">
        <v>0</v>
      </c>
      <c r="R133" s="3"/>
      <c r="S133" s="3"/>
      <c r="T133" s="51" t="s">
        <v>35</v>
      </c>
      <c r="U133" s="53">
        <f t="shared" si="10"/>
        <v>40464.000000000007</v>
      </c>
      <c r="V133" s="54">
        <f t="shared" si="10"/>
        <v>40464</v>
      </c>
      <c r="W133" s="54">
        <f t="shared" si="10"/>
        <v>40464</v>
      </c>
      <c r="X133" s="3"/>
      <c r="Y133" s="3"/>
    </row>
    <row r="134" spans="2:25" ht="16.5" hidden="1" outlineLevel="1" thickTop="1" x14ac:dyDescent="0.3">
      <c r="B134" s="3"/>
      <c r="C134" s="3"/>
      <c r="D134" s="3"/>
      <c r="E134" s="3"/>
      <c r="F134" s="3"/>
      <c r="G134" s="3"/>
      <c r="H134" s="3"/>
      <c r="I134" s="3"/>
      <c r="J134" s="3"/>
      <c r="K134" s="3"/>
      <c r="L134" s="3" t="str">
        <f t="shared" si="6"/>
        <v/>
      </c>
      <c r="M134" s="9" t="e">
        <f t="shared" si="7"/>
        <v>#N/A</v>
      </c>
      <c r="N134" s="9" t="e">
        <f t="shared" si="7"/>
        <v>#N/A</v>
      </c>
      <c r="O134" s="9" t="e">
        <f t="shared" si="7"/>
        <v>#N/A</v>
      </c>
      <c r="P134" s="3" t="s">
        <v>164</v>
      </c>
      <c r="Q134" s="361" t="b">
        <v>0</v>
      </c>
      <c r="R134" s="3"/>
      <c r="S134" s="3"/>
      <c r="T134" s="8" t="str">
        <f>IF(X134,"CAPEX","")</f>
        <v>CAPEX</v>
      </c>
      <c r="U134" s="55">
        <f>IF($X134,U95,NA())</f>
        <v>0</v>
      </c>
      <c r="V134" s="55">
        <f t="shared" ref="V134:W136" si="11">IF($X134,V95,NA())</f>
        <v>0</v>
      </c>
      <c r="W134" s="55">
        <f t="shared" si="11"/>
        <v>0</v>
      </c>
      <c r="X134" s="361" t="b">
        <v>1</v>
      </c>
      <c r="Y134" s="3"/>
    </row>
    <row r="135" spans="2:25" ht="15.75" hidden="1" outlineLevel="1" x14ac:dyDescent="0.3">
      <c r="B135" s="3"/>
      <c r="C135" s="3"/>
      <c r="D135" s="3"/>
      <c r="E135" s="3"/>
      <c r="F135" s="3"/>
      <c r="G135" s="3"/>
      <c r="H135" s="3"/>
      <c r="I135" s="3"/>
      <c r="J135" s="3"/>
      <c r="K135" s="3"/>
      <c r="L135" s="3" t="str">
        <f t="shared" si="6"/>
        <v/>
      </c>
      <c r="M135" s="9" t="e">
        <f t="shared" si="7"/>
        <v>#N/A</v>
      </c>
      <c r="N135" s="9" t="e">
        <f t="shared" si="7"/>
        <v>#N/A</v>
      </c>
      <c r="O135" s="9" t="e">
        <f t="shared" si="7"/>
        <v>#N/A</v>
      </c>
      <c r="P135" s="3" t="s">
        <v>164</v>
      </c>
      <c r="Q135" s="361" t="b">
        <v>0</v>
      </c>
      <c r="R135" s="3"/>
      <c r="S135" s="3"/>
      <c r="T135" s="8" t="str">
        <f>IF(X135,"Zusätzliche jährliche Kosten","")</f>
        <v/>
      </c>
      <c r="U135" s="55" t="e">
        <f>IF($X135,U96,NA())</f>
        <v>#N/A</v>
      </c>
      <c r="V135" s="55" t="e">
        <f t="shared" si="11"/>
        <v>#N/A</v>
      </c>
      <c r="W135" s="55" t="e">
        <f t="shared" si="11"/>
        <v>#N/A</v>
      </c>
      <c r="X135" s="361" t="b">
        <v>0</v>
      </c>
      <c r="Y135" s="3"/>
    </row>
    <row r="136" spans="2:25" ht="15.75" hidden="1" outlineLevel="1" x14ac:dyDescent="0.3">
      <c r="B136" s="3"/>
      <c r="C136" s="3"/>
      <c r="D136" s="3"/>
      <c r="E136" s="3"/>
      <c r="F136" s="3"/>
      <c r="G136" s="3"/>
      <c r="H136" s="3"/>
      <c r="I136" s="3"/>
      <c r="J136" s="3"/>
      <c r="K136" s="3"/>
      <c r="L136" s="3" t="str">
        <f t="shared" si="6"/>
        <v/>
      </c>
      <c r="M136" s="9" t="e">
        <f t="shared" si="7"/>
        <v>#N/A</v>
      </c>
      <c r="N136" s="9" t="e">
        <f t="shared" si="7"/>
        <v>#N/A</v>
      </c>
      <c r="O136" s="9" t="e">
        <f t="shared" si="7"/>
        <v>#N/A</v>
      </c>
      <c r="P136" s="3" t="s">
        <v>164</v>
      </c>
      <c r="Q136" s="361" t="b">
        <v>0</v>
      </c>
      <c r="R136" s="3"/>
      <c r="S136" s="3"/>
      <c r="T136" s="59" t="str">
        <f>IF(X136,"Einmalige Kosten","")</f>
        <v/>
      </c>
      <c r="U136" s="55" t="e">
        <f>IF($X136,U97,NA())</f>
        <v>#N/A</v>
      </c>
      <c r="V136" s="55" t="e">
        <f t="shared" si="11"/>
        <v>#N/A</v>
      </c>
      <c r="W136" s="55" t="e">
        <f t="shared" si="11"/>
        <v>#N/A</v>
      </c>
      <c r="X136" s="361" t="b">
        <v>0</v>
      </c>
      <c r="Y136" s="3"/>
    </row>
    <row r="137" spans="2:25" ht="15.75" hidden="1" outlineLevel="1" x14ac:dyDescent="0.3">
      <c r="B137" s="3"/>
      <c r="C137" s="3"/>
      <c r="D137" s="3"/>
      <c r="E137" s="3"/>
      <c r="F137" s="3"/>
      <c r="G137" s="3"/>
      <c r="H137" s="3"/>
      <c r="I137" s="3"/>
      <c r="J137" s="3"/>
      <c r="K137" s="3"/>
      <c r="L137" s="3" t="str">
        <f t="shared" si="6"/>
        <v>Verpackungsmaterial</v>
      </c>
      <c r="M137" s="9">
        <f t="shared" si="7"/>
        <v>161.20000000000002</v>
      </c>
      <c r="N137" s="9">
        <f t="shared" si="7"/>
        <v>161.20000000000002</v>
      </c>
      <c r="O137" s="9">
        <f t="shared" si="7"/>
        <v>161.20000000000002</v>
      </c>
      <c r="P137" s="3" t="s">
        <v>164</v>
      </c>
      <c r="Q137" s="361" t="b">
        <v>1</v>
      </c>
      <c r="R137" s="3"/>
      <c r="S137" s="3"/>
      <c r="T137" s="57" t="str">
        <f>IF(X137,"CO2-Kosten","")</f>
        <v>CO2-Kosten</v>
      </c>
      <c r="U137" s="58">
        <f>IF($X$137,SUMIF($X$138:$X$140,"WAHR",U138:U140),NA())</f>
        <v>272843.09601517254</v>
      </c>
      <c r="V137" s="58">
        <f t="shared" ref="V137:W137" si="12">IF($X$137,SUMIF($X$138:$X$140,"WAHR",V138:V140),NA())</f>
        <v>469787.87938978226</v>
      </c>
      <c r="W137" s="58">
        <f t="shared" si="12"/>
        <v>794762.11605225096</v>
      </c>
      <c r="X137" s="361" t="b">
        <v>1</v>
      </c>
      <c r="Y137" s="3"/>
    </row>
    <row r="138" spans="2:25" ht="16.5" hidden="1" outlineLevel="1" thickBot="1" x14ac:dyDescent="0.35">
      <c r="B138" s="3"/>
      <c r="C138" s="3"/>
      <c r="D138" s="3"/>
      <c r="E138" s="3"/>
      <c r="F138" s="3"/>
      <c r="G138" s="3"/>
      <c r="H138" s="3"/>
      <c r="I138" s="3"/>
      <c r="J138" s="3"/>
      <c r="K138" s="3"/>
      <c r="L138" s="27" t="s">
        <v>70</v>
      </c>
      <c r="M138" s="28">
        <f>SUMIF($Q$126:$Q$137,"WAHR",M126:M137)</f>
        <v>10520.568560446896</v>
      </c>
      <c r="N138" s="28">
        <f>SUMIF($Q$126:$Q$137,"WAHR",N126:N137)</f>
        <v>10124.921294465081</v>
      </c>
      <c r="O138" s="28">
        <f>SUMIF($Q$126:$Q$137,"WAHR",O126:O137)</f>
        <v>9725.2835790829431</v>
      </c>
      <c r="P138" s="27" t="s">
        <v>165</v>
      </c>
      <c r="Q138" s="3"/>
      <c r="R138" s="3"/>
      <c r="S138" s="3"/>
      <c r="T138" s="31" t="s">
        <v>157</v>
      </c>
      <c r="U138" s="52">
        <f>IF($X138,U99,NA())</f>
        <v>2665.0220039999999</v>
      </c>
      <c r="V138" s="52">
        <f t="shared" ref="V138:W138" si="13">IF($X138,V99,NA())</f>
        <v>4797.0396071999994</v>
      </c>
      <c r="W138" s="52">
        <f t="shared" si="13"/>
        <v>8528.0704127999998</v>
      </c>
      <c r="X138" s="361" t="b">
        <v>1</v>
      </c>
      <c r="Y138" s="3"/>
    </row>
    <row r="139" spans="2:25" ht="16.5" hidden="1" outlineLevel="1" thickTop="1" x14ac:dyDescent="0.3">
      <c r="B139" s="3"/>
      <c r="C139" s="3"/>
      <c r="D139" s="3"/>
      <c r="E139" s="3"/>
      <c r="F139" s="3"/>
      <c r="G139" s="3"/>
      <c r="H139" s="3"/>
      <c r="I139" s="3"/>
      <c r="J139" s="3"/>
      <c r="K139" s="3"/>
      <c r="L139" s="3"/>
      <c r="M139" s="3"/>
      <c r="N139" s="3"/>
      <c r="O139" s="3"/>
      <c r="P139" s="3"/>
      <c r="Q139" s="3"/>
      <c r="R139" s="3"/>
      <c r="S139" s="3"/>
      <c r="T139" s="31" t="s">
        <v>158</v>
      </c>
      <c r="U139" s="52">
        <f t="shared" ref="U139:W140" si="14">IF($X139,U100,NA())</f>
        <v>7162.5</v>
      </c>
      <c r="V139" s="52">
        <f t="shared" si="14"/>
        <v>9366.9335316535035</v>
      </c>
      <c r="W139" s="52">
        <f t="shared" si="14"/>
        <v>8207.0073128147415</v>
      </c>
      <c r="X139" s="361" t="b">
        <v>1</v>
      </c>
      <c r="Y139" s="3"/>
    </row>
    <row r="140" spans="2:25" ht="15.75" hidden="1" outlineLevel="1" x14ac:dyDescent="0.3">
      <c r="B140" s="3"/>
      <c r="C140" s="3"/>
      <c r="D140" s="3"/>
      <c r="E140" s="3"/>
      <c r="F140" s="3"/>
      <c r="G140" s="3"/>
      <c r="H140" s="3"/>
      <c r="I140" s="3"/>
      <c r="J140" s="3"/>
      <c r="K140" s="3"/>
      <c r="L140" s="3"/>
      <c r="M140" s="3"/>
      <c r="N140" s="3"/>
      <c r="O140" s="3"/>
      <c r="P140" s="3"/>
      <c r="Q140" s="3"/>
      <c r="R140" s="3"/>
      <c r="S140" s="3"/>
      <c r="T140" s="31" t="s">
        <v>159</v>
      </c>
      <c r="U140" s="52">
        <f t="shared" si="14"/>
        <v>263015.57401117252</v>
      </c>
      <c r="V140" s="52">
        <f t="shared" si="14"/>
        <v>455623.90625092876</v>
      </c>
      <c r="W140" s="52">
        <f t="shared" si="14"/>
        <v>778027.03832663619</v>
      </c>
      <c r="X140" s="361" t="b">
        <v>1</v>
      </c>
      <c r="Y140" s="3"/>
    </row>
    <row r="141" spans="2:25" ht="13.5" hidden="1" outlineLevel="1" thickBot="1" x14ac:dyDescent="0.25">
      <c r="B141" s="3"/>
      <c r="C141" s="3"/>
      <c r="D141" s="3"/>
      <c r="E141" s="3"/>
      <c r="F141" s="3"/>
      <c r="G141" s="3"/>
      <c r="H141" s="3"/>
      <c r="I141" s="3"/>
      <c r="J141" s="3"/>
      <c r="K141" s="3"/>
      <c r="L141" s="3"/>
      <c r="M141" s="3"/>
      <c r="N141" s="3"/>
      <c r="O141" s="3"/>
      <c r="P141" s="3"/>
      <c r="Q141" s="3"/>
      <c r="R141" s="3"/>
      <c r="S141" s="3"/>
      <c r="T141" s="27" t="s">
        <v>70</v>
      </c>
      <c r="U141" s="56">
        <f>IF($X$137,U137,0)+IF($X$136,U136,0)+IF($X$135,U135,0)+IF($X$134,U134,0)+U126</f>
        <v>445512.09601517254</v>
      </c>
      <c r="V141" s="56">
        <f t="shared" ref="V141:W141" si="15">IF($X$137,V137,0)+IF($X$136,V136,0)+IF($X$135,V135,0)+IF($X$134,V134,0)+V126</f>
        <v>642456.8793897822</v>
      </c>
      <c r="W141" s="56">
        <f t="shared" si="15"/>
        <v>967431.11605225096</v>
      </c>
      <c r="X141" s="3"/>
      <c r="Y141" s="3"/>
    </row>
    <row r="142" spans="2:25" ht="13.5" hidden="1" outlineLevel="1" thickTop="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2:25" hidden="1" outlineLevel="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2:25" hidden="1" outlineLevel="1" x14ac:dyDescent="0.2">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2:25" hidden="1" outlineLevel="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2:25" hidden="1" outlineLevel="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2:25" hidden="1" outlineLevel="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2:25" hidden="1" outlineLevel="1" x14ac:dyDescent="0.2">
      <c r="B148" s="3"/>
      <c r="C148" s="3"/>
      <c r="D148" s="102" t="str">
        <f>IF(OR(G17&gt;0,G18&gt;0,G19&gt;0,G20&gt;0),"Hinweis: Bitte den Handeingabewert 'Reduktion' für 2030 auch anpassen. Dieser muss dem Werte Ihrer Handeingabe 2025 entsprechen, sollte nur eine Maßnahme in 2025 umgesetzt werden.","")</f>
        <v/>
      </c>
      <c r="E148" s="3"/>
      <c r="F148" s="3"/>
      <c r="G148" s="3"/>
      <c r="H148" s="3"/>
      <c r="I148" s="3"/>
      <c r="J148" s="3"/>
      <c r="K148" s="3"/>
      <c r="L148" s="3"/>
      <c r="M148" s="3"/>
      <c r="N148" s="3"/>
      <c r="O148" s="3"/>
      <c r="P148" s="3"/>
      <c r="Q148" s="3"/>
      <c r="R148" s="3"/>
      <c r="S148" s="3"/>
      <c r="T148" s="3"/>
      <c r="U148" s="3"/>
      <c r="V148" s="3"/>
      <c r="W148" s="3"/>
      <c r="X148" s="3"/>
      <c r="Y148" s="3"/>
    </row>
    <row r="149" spans="2:25" hidden="1" outlineLevel="1"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2:25" collapsed="1" x14ac:dyDescent="0.2"/>
    <row r="152" spans="2:25" ht="15.75" hidden="1" outlineLevel="1" x14ac:dyDescent="0.25">
      <c r="B152" s="22"/>
      <c r="C152" s="22" t="s">
        <v>117</v>
      </c>
      <c r="D152" s="17"/>
      <c r="E152" s="17"/>
      <c r="F152" s="17"/>
      <c r="G152" s="17"/>
      <c r="H152" s="17"/>
      <c r="I152" s="17"/>
      <c r="J152" s="17"/>
      <c r="K152" s="17"/>
      <c r="L152" s="17"/>
      <c r="N152" s="22" t="s">
        <v>120</v>
      </c>
      <c r="O152" s="17"/>
      <c r="P152" s="17"/>
      <c r="Q152" s="17"/>
      <c r="R152" s="17"/>
      <c r="S152" s="17"/>
      <c r="T152" s="17"/>
    </row>
    <row r="153" spans="2:25" ht="15" hidden="1" outlineLevel="1" x14ac:dyDescent="0.25">
      <c r="B153" s="64"/>
      <c r="C153" s="64">
        <v>2025</v>
      </c>
      <c r="D153" s="17" t="s">
        <v>266</v>
      </c>
      <c r="E153" s="17"/>
      <c r="F153" s="17"/>
      <c r="G153" s="17"/>
      <c r="H153" s="17"/>
      <c r="I153" s="17"/>
      <c r="J153" s="17"/>
      <c r="K153" s="17"/>
      <c r="L153" s="17"/>
      <c r="N153" s="64">
        <v>2025</v>
      </c>
      <c r="O153" s="17"/>
      <c r="P153" s="17"/>
      <c r="Q153" s="17"/>
      <c r="R153" s="17"/>
      <c r="S153" s="17"/>
      <c r="T153" s="17"/>
    </row>
    <row r="154" spans="2:25" hidden="1" outlineLevel="1" x14ac:dyDescent="0.2">
      <c r="B154" s="302"/>
      <c r="C154" s="17"/>
      <c r="D154" s="17" t="s">
        <v>261</v>
      </c>
      <c r="E154" s="315">
        <f>(1-(IF(NOT(ISBLANK($G17)),$G17/100,$E17/100)))</f>
        <v>0.95</v>
      </c>
      <c r="F154" s="17"/>
      <c r="G154" s="17"/>
      <c r="H154" s="17"/>
      <c r="I154" s="17"/>
      <c r="J154" s="17"/>
      <c r="K154" s="17"/>
      <c r="L154" s="17"/>
      <c r="N154" s="21"/>
      <c r="O154" s="17"/>
      <c r="P154" s="17"/>
      <c r="Q154" s="17"/>
      <c r="R154" s="17"/>
      <c r="S154" s="17"/>
      <c r="T154" s="17"/>
    </row>
    <row r="155" spans="2:25" hidden="1" outlineLevel="1" x14ac:dyDescent="0.2">
      <c r="B155" s="302"/>
      <c r="C155" s="17"/>
      <c r="D155" s="17" t="s">
        <v>262</v>
      </c>
      <c r="E155" s="315">
        <f>(1-(IF(NOT(ISBLANK($G18)),$G18/100,$E18/100)))</f>
        <v>0.95</v>
      </c>
      <c r="F155" s="17"/>
      <c r="G155" s="17"/>
      <c r="H155" s="17"/>
      <c r="I155" s="17"/>
      <c r="J155" s="17"/>
      <c r="K155" s="17"/>
      <c r="L155" s="17"/>
      <c r="N155" s="21"/>
      <c r="O155" s="17"/>
      <c r="P155" s="17"/>
      <c r="Q155" s="17"/>
      <c r="R155" s="17"/>
      <c r="S155" s="17"/>
      <c r="T155" s="17"/>
    </row>
    <row r="156" spans="2:25" hidden="1" outlineLevel="1" x14ac:dyDescent="0.2">
      <c r="B156" s="302"/>
      <c r="C156" s="17"/>
      <c r="D156" s="17" t="s">
        <v>51</v>
      </c>
      <c r="E156" s="315">
        <f>(1-(IF(NOT(ISBLANK($G19)),$G19/100,$E19/100)))</f>
        <v>0.95</v>
      </c>
      <c r="F156" s="17"/>
      <c r="G156" s="17"/>
      <c r="H156" s="17"/>
      <c r="I156" s="17"/>
      <c r="J156" s="17"/>
      <c r="K156" s="17"/>
      <c r="L156" s="17"/>
      <c r="N156" s="21"/>
      <c r="O156" s="17"/>
      <c r="P156" s="17"/>
      <c r="Q156" s="17"/>
      <c r="R156" s="17"/>
      <c r="S156" s="17"/>
      <c r="T156" s="17"/>
    </row>
    <row r="157" spans="2:25" hidden="1" outlineLevel="1" x14ac:dyDescent="0.2">
      <c r="B157" s="302"/>
      <c r="C157" s="17"/>
      <c r="D157" s="17" t="s">
        <v>163</v>
      </c>
      <c r="E157" s="315">
        <f>(1-(IF(NOT(ISBLANK($G20)),$G20/100,$E20/100)))</f>
        <v>0.95</v>
      </c>
      <c r="F157" s="17"/>
      <c r="G157" s="17"/>
      <c r="H157" s="17"/>
      <c r="I157" s="17"/>
      <c r="J157" s="17"/>
      <c r="K157" s="17"/>
      <c r="L157" s="17"/>
      <c r="N157" s="21"/>
      <c r="O157" s="17"/>
      <c r="P157" s="17"/>
      <c r="Q157" s="17"/>
      <c r="R157" s="17"/>
      <c r="S157" s="17"/>
      <c r="T157" s="17"/>
    </row>
    <row r="158" spans="2:25" hidden="1" outlineLevel="1" x14ac:dyDescent="0.2">
      <c r="B158" s="302"/>
      <c r="C158" s="17"/>
      <c r="D158" s="17"/>
      <c r="E158" s="17"/>
      <c r="F158" s="17"/>
      <c r="G158" s="17"/>
      <c r="H158" s="17"/>
      <c r="I158" s="17"/>
      <c r="J158" s="17"/>
      <c r="K158" s="17"/>
      <c r="L158" s="17"/>
      <c r="N158" s="21"/>
      <c r="O158" s="17"/>
      <c r="P158" s="17"/>
      <c r="Q158" s="17"/>
      <c r="R158" s="17"/>
      <c r="S158" s="17"/>
      <c r="T158" s="17"/>
    </row>
    <row r="159" spans="2:25" hidden="1" outlineLevel="1" x14ac:dyDescent="0.2">
      <c r="B159" s="302"/>
      <c r="C159" s="17"/>
      <c r="D159" s="17"/>
      <c r="E159" s="17"/>
      <c r="F159" s="17"/>
      <c r="G159" s="17"/>
      <c r="H159" s="17"/>
      <c r="I159" s="17"/>
      <c r="J159" s="17"/>
      <c r="K159" s="17"/>
      <c r="L159" s="17"/>
      <c r="N159" s="21"/>
      <c r="O159" s="17"/>
      <c r="P159" s="17"/>
      <c r="Q159" s="17"/>
      <c r="R159" s="17"/>
      <c r="S159" s="17"/>
      <c r="T159" s="17"/>
    </row>
    <row r="160" spans="2:25" hidden="1" outlineLevel="1" x14ac:dyDescent="0.2">
      <c r="B160" s="302"/>
      <c r="C160" s="17"/>
      <c r="D160" s="17"/>
      <c r="E160" s="17"/>
      <c r="F160" s="17"/>
      <c r="G160" s="17"/>
      <c r="H160" s="17"/>
      <c r="I160" s="17"/>
      <c r="J160" s="17"/>
      <c r="K160" s="17"/>
      <c r="L160" s="17"/>
      <c r="N160" s="21"/>
      <c r="O160" s="17"/>
      <c r="P160" s="17"/>
      <c r="Q160" s="17"/>
      <c r="R160" s="17"/>
      <c r="S160" s="17"/>
      <c r="T160" s="17"/>
    </row>
    <row r="161" spans="2:20" hidden="1" outlineLevel="1" x14ac:dyDescent="0.2">
      <c r="B161" s="17"/>
      <c r="C161" s="17"/>
      <c r="D161" s="17"/>
      <c r="E161" s="17"/>
      <c r="F161" s="20"/>
      <c r="G161" s="20"/>
      <c r="H161" s="20"/>
      <c r="I161" s="17"/>
      <c r="J161" s="17"/>
      <c r="K161" s="17"/>
      <c r="L161" s="17"/>
      <c r="N161" s="17"/>
      <c r="O161" s="17"/>
      <c r="P161" s="17"/>
      <c r="Q161" s="17"/>
      <c r="R161" s="17"/>
      <c r="S161" s="17"/>
      <c r="T161" s="17"/>
    </row>
    <row r="162" spans="2:20" hidden="1" outlineLevel="1" x14ac:dyDescent="0.2">
      <c r="B162" s="17"/>
      <c r="C162" s="17"/>
      <c r="D162" s="17"/>
      <c r="E162" s="17"/>
      <c r="F162" s="20"/>
      <c r="G162" s="20"/>
      <c r="H162" s="20"/>
      <c r="I162" s="17"/>
      <c r="J162" s="17"/>
      <c r="K162" s="17"/>
      <c r="L162" s="17"/>
      <c r="N162" s="17"/>
      <c r="O162" s="17"/>
      <c r="P162" s="17"/>
      <c r="Q162" s="17"/>
      <c r="R162" s="17"/>
      <c r="S162" s="17"/>
      <c r="T162" s="17"/>
    </row>
    <row r="163" spans="2:20" ht="25.5" hidden="1" outlineLevel="1" x14ac:dyDescent="0.2">
      <c r="B163" s="17"/>
      <c r="C163" s="17"/>
      <c r="D163" s="17"/>
      <c r="E163" s="17"/>
      <c r="F163" s="36" t="s">
        <v>27</v>
      </c>
      <c r="G163" s="36" t="s">
        <v>85</v>
      </c>
      <c r="H163" s="36" t="s">
        <v>29</v>
      </c>
      <c r="I163" s="17"/>
      <c r="J163" s="40" t="s">
        <v>114</v>
      </c>
      <c r="K163" s="41" t="s">
        <v>40</v>
      </c>
      <c r="L163" s="17"/>
      <c r="N163" s="17"/>
      <c r="O163" s="17"/>
      <c r="P163" s="17"/>
      <c r="Q163" s="18"/>
      <c r="R163" s="18"/>
      <c r="S163" s="18"/>
      <c r="T163" s="18"/>
    </row>
    <row r="164" spans="2:20" ht="14.25" hidden="1" outlineLevel="1" x14ac:dyDescent="0.25">
      <c r="B164" s="76"/>
      <c r="C164" s="76" t="s">
        <v>191</v>
      </c>
      <c r="D164" s="76"/>
      <c r="E164" s="76"/>
      <c r="F164" s="77">
        <f>SUM(F166:F179)</f>
        <v>106.60088015999999</v>
      </c>
      <c r="G164" s="77">
        <f t="shared" ref="G164:H164" si="16">SUM(G166:G179)</f>
        <v>208.15407848118898</v>
      </c>
      <c r="H164" s="77">
        <f t="shared" si="16"/>
        <v>49.22770657818478</v>
      </c>
      <c r="I164" s="76"/>
      <c r="J164" s="77">
        <f>F164+G164</f>
        <v>314.75495864118898</v>
      </c>
      <c r="K164" s="77">
        <f>SUM(F164:H164)</f>
        <v>363.98266521937376</v>
      </c>
      <c r="L164" s="76" t="s">
        <v>198</v>
      </c>
      <c r="N164" s="17"/>
      <c r="O164" s="17"/>
      <c r="P164" s="17"/>
      <c r="Q164" s="18"/>
      <c r="R164" s="18"/>
      <c r="S164" s="18"/>
      <c r="T164" s="18"/>
    </row>
    <row r="165" spans="2:20" hidden="1" outlineLevel="1" x14ac:dyDescent="0.2">
      <c r="B165" s="17"/>
      <c r="C165" s="17" t="s">
        <v>148</v>
      </c>
      <c r="D165" s="17"/>
      <c r="E165" s="17"/>
      <c r="F165" s="17"/>
      <c r="G165" s="17"/>
      <c r="H165" s="17"/>
      <c r="I165" s="17"/>
      <c r="J165" s="17"/>
      <c r="K165" s="17"/>
      <c r="L165" s="17"/>
      <c r="N165" s="17" t="s">
        <v>148</v>
      </c>
      <c r="O165" s="17"/>
      <c r="P165" s="17"/>
      <c r="Q165" s="18"/>
      <c r="R165" s="18"/>
      <c r="S165" s="18"/>
      <c r="T165" s="18"/>
    </row>
    <row r="166" spans="2:20" ht="15.75" hidden="1" outlineLevel="1" x14ac:dyDescent="0.3">
      <c r="B166" s="302"/>
      <c r="C166" s="17"/>
      <c r="D166" s="17" t="s">
        <v>128</v>
      </c>
      <c r="E166" s="17"/>
      <c r="F166" s="38">
        <f>IF(NOT(ISBLANK('Referenz Pflasterwerk'!$I16)),'Referenz Pflasterwerk'!$I16,'Referenz Pflasterwerk'!$F16)*IF(NOT(ISBLANK('Eingabe EF'!$AA9)),'Eingabe EF'!$AA9,'Eingabe EF'!$Y9)</f>
        <v>1.6484399999999999</v>
      </c>
      <c r="G166" s="38">
        <f>IF(NOT(ISBLANK('Referenz Pflasterwerk'!$I16)),'Referenz Pflasterwerk'!$I16,'Referenz Pflasterwerk'!$F16)*IF(NOT(ISBLANK('Eingabe EF'!$AE9)),'Eingabe EF'!$AE9,'Eingabe EF'!$AC9)</f>
        <v>0</v>
      </c>
      <c r="H166" s="38">
        <f>IF(NOT(ISBLANK('Referenz Pflasterwerk'!$I16)),'Referenz Pflasterwerk'!$I16,'Referenz Pflasterwerk'!$F16)*IF(NOT(ISBLANK('Eingabe EF'!$AI9)),'Eingabe EF'!$AI9,'Eingabe EF'!$AG9)</f>
        <v>0.28215000000000001</v>
      </c>
      <c r="I166" s="17"/>
      <c r="J166" s="38">
        <f>F166+G166</f>
        <v>1.6484399999999999</v>
      </c>
      <c r="K166" s="38">
        <f>SUM(F166:H166)</f>
        <v>1.93059</v>
      </c>
      <c r="L166" s="17" t="s">
        <v>199</v>
      </c>
      <c r="N166" s="302"/>
      <c r="O166" s="17" t="s">
        <v>128</v>
      </c>
      <c r="P166" s="17"/>
      <c r="Q166" s="19"/>
      <c r="R166" s="20"/>
      <c r="S166" s="42">
        <f>IF(NOT(ISBLANK('Referenz Pflasterwerk'!$I16)),'Referenz Pflasterwerk'!$I16,'Referenz Pflasterwerk'!$F16)/1000*IF(NOT(ISBLANK('Eingabe Preise'!$K10)),'Eingabe Preise'!$K10,'Eingabe Preise'!$I10)</f>
        <v>549</v>
      </c>
      <c r="T166" s="20" t="s">
        <v>109</v>
      </c>
    </row>
    <row r="167" spans="2:20" ht="15.75" hidden="1" outlineLevel="1" x14ac:dyDescent="0.3">
      <c r="B167" s="302"/>
      <c r="C167" s="17"/>
      <c r="D167" s="17" t="s">
        <v>166</v>
      </c>
      <c r="E167" s="17"/>
      <c r="F167" s="38">
        <f>IF(NOT(ISBLANK('Referenz Pflasterwerk'!$I17)),'Referenz Pflasterwerk'!$I17,'Referenz Pflasterwerk'!$F17)*IF(NOT(ISBLANK('Eingabe EF'!$AA10)),'Eingabe EF'!$AA10,'Eingabe EF'!$Y10)</f>
        <v>0.53351999999999999</v>
      </c>
      <c r="G167" s="38">
        <f>IF(NOT(ISBLANK('Referenz Pflasterwerk'!$I17)),'Referenz Pflasterwerk'!$I17,'Referenz Pflasterwerk'!$F17)*IF(NOT(ISBLANK('Eingabe EF'!$AE10)),'Eingabe EF'!$AE10,'Eingabe EF'!$AC10)</f>
        <v>0</v>
      </c>
      <c r="H167" s="38">
        <f>IF(NOT(ISBLANK('Referenz Pflasterwerk'!$I17)),'Referenz Pflasterwerk'!$I17,'Referenz Pflasterwerk'!$F17)*IF(NOT(ISBLANK('Eingabe EF'!$AI10)),'Eingabe EF'!$AI10,'Eingabe EF'!$AG10)</f>
        <v>7.9152E-2</v>
      </c>
      <c r="I167" s="17"/>
      <c r="J167" s="38">
        <f>F167+G167</f>
        <v>0.53351999999999999</v>
      </c>
      <c r="K167" s="38">
        <f>SUM(F167:H167)</f>
        <v>0.61267199999999999</v>
      </c>
      <c r="L167" s="17" t="s">
        <v>199</v>
      </c>
      <c r="N167" s="302"/>
      <c r="O167" s="17" t="s">
        <v>166</v>
      </c>
      <c r="P167" s="17"/>
      <c r="Q167" s="20"/>
      <c r="R167" s="20"/>
      <c r="S167" s="42">
        <f>IF(NOT(ISBLANK('Referenz Pflasterwerk'!$I17)),'Referenz Pflasterwerk'!$I17,'Referenz Pflasterwerk'!$F17)/1000*IF(NOT(ISBLANK('Eingabe Preise'!$K11)),'Eingabe Preise'!$K11,'Eingabe Preise'!$I11)</f>
        <v>92</v>
      </c>
      <c r="T167" s="20" t="s">
        <v>109</v>
      </c>
    </row>
    <row r="168" spans="2:20" ht="15.75" hidden="1" outlineLevel="1" x14ac:dyDescent="0.3">
      <c r="B168" s="302"/>
      <c r="C168" s="17"/>
      <c r="D168" s="17" t="s">
        <v>167</v>
      </c>
      <c r="E168" s="17"/>
      <c r="F168" s="38">
        <f>IF(NOT(ISBLANK('Referenz Pflasterwerk'!$I18)),'Referenz Pflasterwerk'!$I18,'Referenz Pflasterwerk'!$F18)*IF(NOT(ISBLANK('Eingabe EF'!$AA11)),'Eingabe EF'!$AA11,'Eingabe EF'!$Y11)</f>
        <v>0</v>
      </c>
      <c r="G168" s="38">
        <f>IF(NOT(ISBLANK('Referenz Pflasterwerk'!$I18)),'Referenz Pflasterwerk'!$I18,'Referenz Pflasterwerk'!$F18)*IF(NOT(ISBLANK('Eingabe EF'!$AE11)),'Eingabe EF'!$AE11,'Eingabe EF'!$AC11)</f>
        <v>41.630815696237796</v>
      </c>
      <c r="H168" s="38">
        <f>IF(NOT(ISBLANK('Referenz Pflasterwerk'!$I18)),'Referenz Pflasterwerk'!$I18,'Referenz Pflasterwerk'!$F18)*IF(NOT(ISBLANK('Eingabe EF'!$AI11)),'Eingabe EF'!$AI11,'Eingabe EF'!$AG11)</f>
        <v>6.1029468036369554</v>
      </c>
      <c r="I168" s="17"/>
      <c r="J168" s="38">
        <f>F168+G168</f>
        <v>41.630815696237796</v>
      </c>
      <c r="K168" s="38">
        <f>SUM(F168:H168)</f>
        <v>47.73376249987475</v>
      </c>
      <c r="L168" s="17" t="s">
        <v>199</v>
      </c>
      <c r="N168" s="302"/>
      <c r="O168" s="17" t="s">
        <v>167</v>
      </c>
      <c r="P168" s="17"/>
      <c r="Q168" s="20"/>
      <c r="R168" s="20"/>
      <c r="S168" s="42">
        <f>IF(NOT(ISBLANK('Referenz Pflasterwerk'!$I18)),'Referenz Pflasterwerk'!$I18,'Referenz Pflasterwerk'!$F18)/1000*IF(NOT(ISBLANK('Eingabe Preise'!$K12)),'Eingabe Preise'!$K12,'Eingabe Preise'!$I12)</f>
        <v>25800</v>
      </c>
      <c r="T168" s="20" t="s">
        <v>109</v>
      </c>
    </row>
    <row r="169" spans="2:20" ht="15.75" hidden="1" outlineLevel="1" x14ac:dyDescent="0.3">
      <c r="B169" s="302"/>
      <c r="C169" s="17"/>
      <c r="D169" s="17" t="s">
        <v>129</v>
      </c>
      <c r="E169" s="17"/>
      <c r="F169" s="44">
        <f>IF(NOT(ISBLANK('Referenz Pflasterwerk'!$I19)),'Referenz Pflasterwerk'!$I19,'Referenz Pflasterwerk'!$F19)*IF(NOT(ISBLANK('Eingabe EF'!$AA12)),'Eingabe EF'!$AA12,0)</f>
        <v>0</v>
      </c>
      <c r="G169" s="44">
        <f>IF(NOT(ISBLANK('Referenz Pflasterwerk'!$I19)),'Referenz Pflasterwerk'!$I19,'Referenz Pflasterwerk'!$F19)*IF(NOT(ISBLANK('Eingabe EF'!$AE12)),'Eingabe EF'!$AE12,0)</f>
        <v>0</v>
      </c>
      <c r="H169" s="44">
        <f>IF(NOT(ISBLANK('Referenz Pflasterwerk'!$I19)),'Referenz Pflasterwerk'!$I19,'Referenz Pflasterwerk'!$F19)*IF(NOT(ISBLANK('Eingabe EF'!$AI12)),'Eingabe EF'!$AI12,0)</f>
        <v>0</v>
      </c>
      <c r="I169" s="17"/>
      <c r="J169" s="38">
        <f>F169+G169</f>
        <v>0</v>
      </c>
      <c r="K169" s="38">
        <f>SUM(F169:H169)</f>
        <v>0</v>
      </c>
      <c r="L169" s="17" t="s">
        <v>199</v>
      </c>
      <c r="N169" s="302"/>
      <c r="O169" s="17" t="s">
        <v>129</v>
      </c>
      <c r="P169" s="17"/>
      <c r="Q169" s="20"/>
      <c r="R169" s="20"/>
      <c r="S169" s="42">
        <f>IF(NOT(ISBLANK('Referenz Pflasterwerk'!$I19)),'Referenz Pflasterwerk'!$I19,'Referenz Pflasterwerk'!$F19)/1000*IF(NOT(ISBLANK('Eingabe Preise'!$K16)),'Eingabe Preise'!$K16,0)</f>
        <v>0</v>
      </c>
      <c r="T169" s="20" t="s">
        <v>109</v>
      </c>
    </row>
    <row r="170" spans="2:20" hidden="1" outlineLevel="1" x14ac:dyDescent="0.2">
      <c r="B170" s="17"/>
      <c r="C170" s="17" t="s">
        <v>149</v>
      </c>
      <c r="D170" s="17"/>
      <c r="E170" s="17"/>
      <c r="F170" s="20"/>
      <c r="G170" s="20"/>
      <c r="H170" s="20"/>
      <c r="I170" s="17"/>
      <c r="J170" s="17"/>
      <c r="K170" s="17"/>
      <c r="L170" s="17"/>
      <c r="N170" s="17" t="s">
        <v>149</v>
      </c>
      <c r="O170" s="17"/>
      <c r="P170" s="17"/>
      <c r="Q170" s="20"/>
      <c r="R170" s="20"/>
      <c r="S170" s="20"/>
      <c r="T170" s="20"/>
    </row>
    <row r="171" spans="2:20" ht="15.75" hidden="1" outlineLevel="1" x14ac:dyDescent="0.3">
      <c r="B171" s="17"/>
      <c r="C171" s="17"/>
      <c r="D171" s="17" t="s">
        <v>32</v>
      </c>
      <c r="E171" s="17"/>
      <c r="F171" s="38">
        <f>IF(NOT(ISBLANK('Referenz Pflasterwerk'!$I21)),'Referenz Pflasterwerk'!$I21,'Referenz Pflasterwerk'!$F21)*IF(NOT(ISBLANK('Eingabe EF'!$AA9)),'Eingabe EF'!$AA9,'Eingabe EF'!$Y9)</f>
        <v>6.5937599999999996</v>
      </c>
      <c r="G171" s="38">
        <f>IF(NOT(ISBLANK('Referenz Pflasterwerk'!$I21)),'Referenz Pflasterwerk'!$I21,'Referenz Pflasterwerk'!$F21)*IF(NOT(ISBLANK('Eingabe EF'!$AE9)),'Eingabe EF'!$AE9,'Eingabe EF'!$AC9)</f>
        <v>0</v>
      </c>
      <c r="H171" s="38">
        <f>IF(NOT(ISBLANK('Referenz Pflasterwerk'!$I21)),'Referenz Pflasterwerk'!$I21,'Referenz Pflasterwerk'!$F21)*IF(NOT(ISBLANK('Eingabe EF'!$AG9)),'Eingabe EF'!$AG9,'Eingabe EF'!$AIC9)</f>
        <v>1.1286</v>
      </c>
      <c r="I171" s="17"/>
      <c r="J171" s="38">
        <f t="shared" ref="J171:J172" si="17">F171+G171</f>
        <v>6.5937599999999996</v>
      </c>
      <c r="K171" s="38">
        <f t="shared" ref="K171:K182" si="18">SUM(F171:H171)</f>
        <v>7.7223600000000001</v>
      </c>
      <c r="L171" s="17" t="s">
        <v>199</v>
      </c>
      <c r="M171" s="43"/>
      <c r="N171" s="17"/>
      <c r="O171" s="17" t="s">
        <v>32</v>
      </c>
      <c r="P171" s="17"/>
      <c r="Q171" s="20"/>
      <c r="R171" s="20"/>
      <c r="S171" s="42">
        <f>IF(NOT(ISBLANK('Referenz Pflasterwerk'!$I21)),'Referenz Pflasterwerk'!$I21,'Referenz Pflasterwerk'!$F21)/1000*IF(NOT(ISBLANK('Eingabe Preise'!$K10)),'Eingabe Preise'!$K10,'Eingabe Preise'!$I10)</f>
        <v>2196</v>
      </c>
      <c r="T171" s="20" t="s">
        <v>109</v>
      </c>
    </row>
    <row r="172" spans="2:20" ht="15.75" hidden="1" outlineLevel="1" x14ac:dyDescent="0.3">
      <c r="B172" s="17"/>
      <c r="C172" s="17"/>
      <c r="D172" s="17" t="s">
        <v>33</v>
      </c>
      <c r="E172" s="17"/>
      <c r="F172" s="38">
        <f>IF(NOT(ISBLANK('Referenz Pflasterwerk'!$I22)),'Referenz Pflasterwerk'!$I22,'Referenz Pflasterwerk'!$F22)*IF(NOT(ISBLANK('Eingabe EF'!$AA10)),'Eingabe EF'!$AA10,'Eingabe EF'!$Y10)</f>
        <v>2.13408</v>
      </c>
      <c r="G172" s="38">
        <f>IF(NOT(ISBLANK('Referenz Pflasterwerk'!$I22)),'Referenz Pflasterwerk'!$I22,'Referenz Pflasterwerk'!$F22)*IF(NOT(ISBLANK('Eingabe EF'!$AE10)),'Eingabe EF'!$AE10,'Eingabe EF'!$AC10)</f>
        <v>0</v>
      </c>
      <c r="H172" s="38">
        <f>IF(NOT(ISBLANK('Referenz Pflasterwerk'!$I22)),'Referenz Pflasterwerk'!$I22,'Referenz Pflasterwerk'!$F22)*IF(NOT(ISBLANK('Eingabe EF'!$AG10)),'Eingabe EF'!$AG10,'Eingabe EF'!$AIC10)</f>
        <v>0.316608</v>
      </c>
      <c r="I172" s="17"/>
      <c r="J172" s="38">
        <f t="shared" si="17"/>
        <v>2.13408</v>
      </c>
      <c r="K172" s="38">
        <f t="shared" si="18"/>
        <v>2.450688</v>
      </c>
      <c r="L172" s="17" t="s">
        <v>199</v>
      </c>
      <c r="M172" s="43"/>
      <c r="N172" s="17"/>
      <c r="O172" s="17" t="s">
        <v>33</v>
      </c>
      <c r="P172" s="17"/>
      <c r="Q172" s="20"/>
      <c r="R172" s="20"/>
      <c r="S172" s="42">
        <f>IF(NOT(ISBLANK('Referenz Pflasterwerk'!$I22)),'Referenz Pflasterwerk'!$I22,'Referenz Pflasterwerk'!$F22)/1000*IF(NOT(ISBLANK('Eingabe Preise'!$K11)),'Eingabe Preise'!$K11,'Eingabe Preise'!$I11)</f>
        <v>368</v>
      </c>
      <c r="T172" s="20" t="s">
        <v>109</v>
      </c>
    </row>
    <row r="173" spans="2:20" hidden="1" outlineLevel="1" x14ac:dyDescent="0.2">
      <c r="B173" s="17"/>
      <c r="C173" s="17" t="s">
        <v>150</v>
      </c>
      <c r="D173" s="17"/>
      <c r="E173" s="17"/>
      <c r="F173" s="20"/>
      <c r="G173" s="20"/>
      <c r="H173" s="20"/>
      <c r="I173" s="17"/>
      <c r="J173" s="17"/>
      <c r="K173" s="17"/>
      <c r="L173" s="17"/>
      <c r="N173" s="17" t="s">
        <v>150</v>
      </c>
      <c r="O173" s="17"/>
      <c r="P173" s="17"/>
      <c r="Q173" s="20"/>
      <c r="R173" s="20"/>
      <c r="S173" s="20"/>
      <c r="T173" s="20"/>
    </row>
    <row r="174" spans="2:20" ht="15.75" hidden="1" outlineLevel="1" x14ac:dyDescent="0.3">
      <c r="B174" s="17"/>
      <c r="C174" s="17"/>
      <c r="D174" s="17" t="s">
        <v>152</v>
      </c>
      <c r="E174" s="17"/>
      <c r="F174" s="38">
        <f>IF(NOT(ISBLANK('Referenz Pflasterwerk'!$I24)),'Referenz Pflasterwerk'!$I24,'Referenz Pflasterwerk'!$F24)*IF(NOT(ISBLANK('Eingabe EF'!$AA11)),'Eingabe EF'!$AA11,'Eingabe EF'!$Y11)</f>
        <v>0</v>
      </c>
      <c r="G174" s="38">
        <f>IF(NOT(ISBLANK('Referenz Pflasterwerk'!$I24)),'Referenz Pflasterwerk'!$I24,'Referenz Pflasterwerk'!$F24)*IF(NOT(ISBLANK('Eingabe EF'!$AE11)),'Eingabe EF'!$AE11,'Eingabe EF'!$AC11)</f>
        <v>166.52326278495119</v>
      </c>
      <c r="H174" s="38">
        <f>IF(NOT(ISBLANK('Referenz Pflasterwerk'!$I24)),'Referenz Pflasterwerk'!$I24,'Referenz Pflasterwerk'!$F24)*IF(NOT(ISBLANK('Eingabe EF'!$AI11)),'Eingabe EF'!$AI11,'Eingabe EF'!$AG11)</f>
        <v>24.411787214547822</v>
      </c>
      <c r="I174" s="17"/>
      <c r="J174" s="38">
        <f t="shared" ref="J174:J182" si="19">F174+G174</f>
        <v>166.52326278495119</v>
      </c>
      <c r="K174" s="38">
        <f t="shared" si="18"/>
        <v>190.935049999499</v>
      </c>
      <c r="L174" s="17" t="s">
        <v>199</v>
      </c>
      <c r="M174" s="43"/>
      <c r="N174" s="17"/>
      <c r="O174" s="17" t="s">
        <v>168</v>
      </c>
      <c r="P174" s="17"/>
      <c r="Q174" s="20"/>
      <c r="R174" s="20"/>
      <c r="S174" s="42">
        <f>IF(NOT(ISBLANK('Referenz Pflasterwerk'!$I24)),'Referenz Pflasterwerk'!$I24,'Referenz Pflasterwerk'!$F24)/1000*IF(NOT(ISBLANK('Eingabe Preise'!$K12)),'Eingabe Preise'!$K12,'Eingabe Preise'!$I12)</f>
        <v>103200</v>
      </c>
      <c r="T174" s="20" t="s">
        <v>109</v>
      </c>
    </row>
    <row r="175" spans="2:20" ht="15.75" hidden="1" outlineLevel="1" x14ac:dyDescent="0.3">
      <c r="B175" s="17"/>
      <c r="C175" s="17"/>
      <c r="D175" s="17" t="s">
        <v>125</v>
      </c>
      <c r="E175" s="17"/>
      <c r="F175" s="38">
        <f>IF(NOT(ISBLANK('Referenz Pflasterwerk'!$I25)),'Referenz Pflasterwerk'!$I25,'Referenz Pflasterwerk'!$F25)*IF(NOT(ISBLANK('Eingabe EF'!$AA13)),'Eingabe EF'!$AA13,'Eingabe EF'!$Y13)</f>
        <v>0</v>
      </c>
      <c r="G175" s="38">
        <f>IF(NOT(ISBLANK('Referenz Pflasterwerk'!$I25)),'Referenz Pflasterwerk'!$I25,'Referenz Pflasterwerk'!$F25)*IF(NOT(ISBLANK('Eingabe EF'!$AE13)),'Eingabe EF'!$AE13,'Eingabe EF'!$AC13)</f>
        <v>0</v>
      </c>
      <c r="H175" s="38">
        <f>IF(NOT(ISBLANK('Referenz Pflasterwerk'!$I25)),'Referenz Pflasterwerk'!$I25,'Referenz Pflasterwerk'!$F25)*IF(NOT(ISBLANK('Eingabe EF'!$AI13)),'Eingabe EF'!$AI13,'Eingabe EF'!$AG13)</f>
        <v>0</v>
      </c>
      <c r="I175" s="17"/>
      <c r="J175" s="38">
        <f t="shared" si="19"/>
        <v>0</v>
      </c>
      <c r="K175" s="38">
        <f t="shared" si="18"/>
        <v>0</v>
      </c>
      <c r="L175" s="17" t="s">
        <v>199</v>
      </c>
      <c r="M175" s="43"/>
      <c r="N175" s="17"/>
      <c r="O175" s="17" t="s">
        <v>125</v>
      </c>
      <c r="P175" s="17"/>
      <c r="Q175" s="20"/>
      <c r="R175" s="20"/>
      <c r="S175" s="42">
        <f>IF(NOT(ISBLANK('Referenz Pflasterwerk'!$I25)),'Referenz Pflasterwerk'!$I25,'Referenz Pflasterwerk'!$F25)/1000*IF(NOT(ISBLANK('Eingabe Preise'!$K13)),'Eingabe Preise'!$K13,'Eingabe Preise'!$I13)</f>
        <v>0</v>
      </c>
      <c r="T175" s="20" t="s">
        <v>109</v>
      </c>
    </row>
    <row r="176" spans="2:20" ht="15.75" hidden="1" outlineLevel="1" x14ac:dyDescent="0.3">
      <c r="B176" s="17"/>
      <c r="C176" s="17"/>
      <c r="D176" s="17" t="s">
        <v>151</v>
      </c>
      <c r="E176" s="17"/>
      <c r="F176" s="38">
        <f>IF(NOT(ISBLANK('Referenz Pflasterwerk'!$I26)),'Referenz Pflasterwerk'!$I26,'Referenz Pflasterwerk'!$F26)*IF(NOT(ISBLANK('Eingabe EF'!$AA14)),'Eingabe EF'!$AA14,0)</f>
        <v>0</v>
      </c>
      <c r="G176" s="38">
        <f>IF(NOT(ISBLANK('Referenz Pflasterwerk'!$I26)),'Referenz Pflasterwerk'!$I26,'Referenz Pflasterwerk'!$F26)*IF(NOT(ISBLANK('Eingabe EF'!$AE14)),'Eingabe EF'!$AE14,0)</f>
        <v>0</v>
      </c>
      <c r="H176" s="38">
        <f>IF(NOT(ISBLANK('Referenz Pflasterwerk'!$I26)),'Referenz Pflasterwerk'!$I26,'Referenz Pflasterwerk'!$F26)*IF(NOT(ISBLANK('Eingabe EF'!$AI14)),'Eingabe EF'!$AI14,0)</f>
        <v>0</v>
      </c>
      <c r="I176" s="17"/>
      <c r="J176" s="38">
        <f t="shared" si="19"/>
        <v>0</v>
      </c>
      <c r="K176" s="38">
        <f t="shared" si="18"/>
        <v>0</v>
      </c>
      <c r="L176" s="17" t="s">
        <v>199</v>
      </c>
      <c r="M176" s="43"/>
      <c r="N176" s="17"/>
      <c r="O176" s="17" t="s">
        <v>151</v>
      </c>
      <c r="P176" s="17"/>
      <c r="Q176" s="30"/>
      <c r="R176" s="17"/>
      <c r="S176" s="42">
        <f>IF(NOT(ISBLANK('Referenz Pflasterwerk'!$I26)),'Referenz Pflasterwerk'!$I26,'Referenz Pflasterwerk'!$F26)/1000*IF(NOT(ISBLANK('Eingabe Preise'!$K17)),'Eingabe Preise'!$K17,0)</f>
        <v>0</v>
      </c>
      <c r="T176" s="20" t="s">
        <v>109</v>
      </c>
    </row>
    <row r="177" spans="2:21" hidden="1" outlineLevel="1" x14ac:dyDescent="0.2">
      <c r="B177" s="17"/>
      <c r="C177" s="17"/>
      <c r="D177" s="17"/>
      <c r="E177" s="17"/>
      <c r="F177" s="20"/>
      <c r="G177" s="20"/>
      <c r="H177" s="20"/>
      <c r="I177" s="17"/>
      <c r="J177" s="17"/>
      <c r="K177" s="17"/>
      <c r="L177" s="17"/>
      <c r="N177" s="17"/>
      <c r="O177" s="17"/>
      <c r="P177" s="17"/>
      <c r="Q177" s="30"/>
      <c r="R177" s="17"/>
      <c r="S177" s="17"/>
      <c r="T177" s="17"/>
    </row>
    <row r="178" spans="2:21" ht="15.75" hidden="1" outlineLevel="1" x14ac:dyDescent="0.3">
      <c r="B178" s="17"/>
      <c r="C178" s="17" t="s">
        <v>78</v>
      </c>
      <c r="D178" s="17" t="s">
        <v>35</v>
      </c>
      <c r="E178" s="17"/>
      <c r="F178" s="38">
        <f>IF(NOT(ISBLANK('Referenz Pflasterwerk'!$I28)),'Referenz Pflasterwerk'!$I28,'Referenz Pflasterwerk'!$F28)*IF(NOT(ISBLANK('Eingabe EF'!$AA15)),'Eingabe EF'!$AA15,'Eingabe EF'!$Y15)</f>
        <v>85.058737919999984</v>
      </c>
      <c r="G178" s="38">
        <f>IF(NOT(ISBLANK('Referenz Pflasterwerk'!$I28)),'Referenz Pflasterwerk'!$I28,'Referenz Pflasterwerk'!$F28)*IF(NOT(ISBLANK('Eingabe EF'!$AE15)),'Eingabe EF'!$AE15,'Eingabe EF'!$AC15)</f>
        <v>0</v>
      </c>
      <c r="H178" s="38">
        <f>IF(NOT(ISBLANK('Referenz Pflasterwerk'!$I28)),'Referenz Pflasterwerk'!$I28,'Referenz Pflasterwerk'!$F28)*IF(NOT(ISBLANK('Eingabe EF'!$AI15)),'Eingabe EF'!$AI15,'Eingabe EF'!$AG15)</f>
        <v>15.027966720000002</v>
      </c>
      <c r="I178" s="17"/>
      <c r="J178" s="38">
        <f t="shared" si="19"/>
        <v>85.058737919999984</v>
      </c>
      <c r="K178" s="38">
        <f t="shared" si="18"/>
        <v>100.08670463999999</v>
      </c>
      <c r="L178" s="17" t="s">
        <v>199</v>
      </c>
      <c r="M178" s="43"/>
      <c r="N178" s="17"/>
      <c r="O178" s="17" t="s">
        <v>35</v>
      </c>
      <c r="P178" s="17" t="s">
        <v>78</v>
      </c>
      <c r="Q178" s="30"/>
      <c r="R178" s="17"/>
      <c r="S178" s="42">
        <f>IF(NOT(ISBLANK('Referenz Pflasterwerk'!$I28)),'Referenz Pflasterwerk'!$I28,'Referenz Pflasterwerk'!$F28)*IF(NOT(ISBLANK('Eingabe Preise'!$K14)),'Eingabe Preise'!$K14,'Eingabe Preise'!$I14)</f>
        <v>35968</v>
      </c>
      <c r="T178" s="20" t="s">
        <v>109</v>
      </c>
    </row>
    <row r="179" spans="2:21" ht="15.75" hidden="1" outlineLevel="1" x14ac:dyDescent="0.3">
      <c r="B179" s="17"/>
      <c r="C179" s="17" t="s">
        <v>77</v>
      </c>
      <c r="D179" s="17" t="s">
        <v>35</v>
      </c>
      <c r="E179" s="17"/>
      <c r="F179" s="38">
        <f>IF(NOT(ISBLANK('Referenz Pflasterwerk'!$I29)),'Referenz Pflasterwerk'!$I29,'Referenz Pflasterwerk'!$F29)*IF(NOT(ISBLANK('Eingabe EF'!$AA15)),'Eingabe EF'!$AA15,'Eingabe EF'!$Y15)</f>
        <v>10.632342239999998</v>
      </c>
      <c r="G179" s="38">
        <f>IF(NOT(ISBLANK('Referenz Pflasterwerk'!$I29)),'Referenz Pflasterwerk'!$I29,'Referenz Pflasterwerk'!$F29)*IF(NOT(ISBLANK('Eingabe EF'!$AE15)),'Eingabe EF'!$AE15,'Eingabe EF'!$AC15)</f>
        <v>0</v>
      </c>
      <c r="H179" s="38">
        <f>IF(NOT(ISBLANK('Referenz Pflasterwerk'!$I29)),'Referenz Pflasterwerk'!$I29,'Referenz Pflasterwerk'!$F29)*IF(NOT(ISBLANK('Eingabe EF'!$AI15)),'Eingabe EF'!$AI15,'Eingabe EF'!$AG15)</f>
        <v>1.8784958400000002</v>
      </c>
      <c r="I179" s="17"/>
      <c r="J179" s="38">
        <f t="shared" si="19"/>
        <v>10.632342239999998</v>
      </c>
      <c r="K179" s="38">
        <f t="shared" si="18"/>
        <v>12.510838079999999</v>
      </c>
      <c r="L179" s="17" t="s">
        <v>199</v>
      </c>
      <c r="M179" s="43"/>
      <c r="N179" s="17"/>
      <c r="O179" s="17" t="s">
        <v>35</v>
      </c>
      <c r="P179" s="17" t="s">
        <v>77</v>
      </c>
      <c r="Q179" s="30"/>
      <c r="R179" s="17"/>
      <c r="S179" s="42">
        <f>IF(NOT(ISBLANK('Referenz Pflasterwerk'!$I29)),'Referenz Pflasterwerk'!$I29,'Referenz Pflasterwerk'!$F29)*IF(NOT(ISBLANK('Eingabe Preise'!$K14)),'Eingabe Preise'!$K14,'Eingabe Preise'!$I14)</f>
        <v>4496</v>
      </c>
      <c r="T179" s="20" t="s">
        <v>109</v>
      </c>
    </row>
    <row r="180" spans="2:21" s="72" customFormat="1" ht="14.25" hidden="1" outlineLevel="1" x14ac:dyDescent="0.25">
      <c r="B180" s="69"/>
      <c r="C180" s="69" t="s">
        <v>190</v>
      </c>
      <c r="D180" s="69"/>
      <c r="E180" s="69"/>
      <c r="F180" s="71">
        <f>F181+F182</f>
        <v>0</v>
      </c>
      <c r="G180" s="71">
        <f t="shared" ref="G180:H180" si="20">G181+G182</f>
        <v>0</v>
      </c>
      <c r="H180" s="71">
        <f t="shared" si="20"/>
        <v>578.62626120000004</v>
      </c>
      <c r="I180" s="69"/>
      <c r="J180" s="71">
        <f t="shared" si="19"/>
        <v>0</v>
      </c>
      <c r="K180" s="71">
        <f t="shared" si="18"/>
        <v>578.62626120000004</v>
      </c>
      <c r="L180" s="76" t="s">
        <v>198</v>
      </c>
      <c r="N180" s="21"/>
      <c r="O180" s="21"/>
      <c r="P180" s="21"/>
      <c r="Q180" s="73"/>
      <c r="R180" s="21"/>
      <c r="S180" s="21"/>
      <c r="T180" s="21"/>
      <c r="U180" s="6"/>
    </row>
    <row r="181" spans="2:21" ht="15.75" hidden="1" outlineLevel="1" x14ac:dyDescent="0.3">
      <c r="B181" s="17"/>
      <c r="C181" s="17"/>
      <c r="D181" s="17" t="s">
        <v>46</v>
      </c>
      <c r="E181" s="17"/>
      <c r="F181" s="38">
        <f>IF(NOT(ISBLANK('Referenz Pflasterwerk'!$I32)),'Referenz Pflasterwerk'!$I32,'Referenz Pflasterwerk'!$F32)*IF(NOT(ISBLANK('Eingabe EF'!$AA17)),'Eingabe EF'!$AA17,'Eingabe EF'!$Y17)</f>
        <v>0</v>
      </c>
      <c r="G181" s="38">
        <f>IF(NOT(ISBLANK('Referenz Pflasterwerk'!$I32)),'Referenz Pflasterwerk'!$I32,'Referenz Pflasterwerk'!$F32)*IF(NOT(ISBLANK('Eingabe EF'!$AE17)),'Eingabe EF'!$AE17,'Eingabe EF'!$AC17)</f>
        <v>0</v>
      </c>
      <c r="H181" s="38">
        <f>IF(NOT(ISBLANK('Referenz Pflasterwerk'!$I32)),'Referenz Pflasterwerk'!$I32,'Referenz Pflasterwerk'!$F32)*IF(NOT(ISBLANK('Eingabe EF'!$AI17)),'Eingabe EF'!$AI17,'Eingabe EF'!$AG17)</f>
        <v>250.21676159999998</v>
      </c>
      <c r="I181" s="17"/>
      <c r="J181" s="38">
        <f t="shared" si="19"/>
        <v>0</v>
      </c>
      <c r="K181" s="38">
        <f t="shared" si="18"/>
        <v>250.21676159999998</v>
      </c>
      <c r="L181" s="17" t="s">
        <v>199</v>
      </c>
      <c r="M181" s="43"/>
      <c r="N181" s="17"/>
      <c r="O181" s="17"/>
      <c r="P181" s="17"/>
      <c r="Q181" s="30"/>
      <c r="R181" s="17"/>
      <c r="S181" s="17"/>
      <c r="T181" s="17"/>
    </row>
    <row r="182" spans="2:21" ht="15.75" hidden="1" outlineLevel="1" x14ac:dyDescent="0.3">
      <c r="B182" s="17"/>
      <c r="C182" s="17"/>
      <c r="D182" s="17" t="s">
        <v>47</v>
      </c>
      <c r="E182" s="17"/>
      <c r="F182" s="38">
        <f>IF(NOT(ISBLANK('Referenz Pflasterwerk'!$I33)),'Referenz Pflasterwerk'!$I33,'Referenz Pflasterwerk'!$F33)*IF(NOT(ISBLANK('Eingabe EF'!$AA18)),'Eingabe EF'!$AA18,'Eingabe EF'!$Y18)</f>
        <v>0</v>
      </c>
      <c r="G182" s="38">
        <f>IF(NOT(ISBLANK('Referenz Pflasterwerk'!$I33)),'Referenz Pflasterwerk'!$I33,'Referenz Pflasterwerk'!$F33)*IF(NOT(ISBLANK('Eingabe EF'!$AE18)),'Eingabe EF'!$AE18,'Eingabe EF'!$AC18)</f>
        <v>0</v>
      </c>
      <c r="H182" s="38">
        <f>IF(NOT(ISBLANK('Referenz Pflasterwerk'!$I33)),'Referenz Pflasterwerk'!$I33,'Referenz Pflasterwerk'!$F33)*IF(NOT(ISBLANK('Eingabe EF'!$AI18)),'Eingabe EF'!$AI18,'Eingabe EF'!$AG18)</f>
        <v>328.4094996</v>
      </c>
      <c r="I182" s="17"/>
      <c r="J182" s="38">
        <f t="shared" si="19"/>
        <v>0</v>
      </c>
      <c r="K182" s="38">
        <f t="shared" si="18"/>
        <v>328.4094996</v>
      </c>
      <c r="L182" s="17" t="s">
        <v>199</v>
      </c>
      <c r="M182" s="43"/>
      <c r="N182" s="17"/>
      <c r="O182" s="17" t="s">
        <v>31</v>
      </c>
      <c r="P182" s="17"/>
      <c r="Q182" s="30"/>
      <c r="R182" s="17"/>
      <c r="S182" s="42">
        <f>IF(NOT(ISBLANK($G$30)),$G$30,$E$30)/IF(NOT(ISBLANK($G$35)),$G$35,$E$35)+IF(NOT(ISBLANK($G$30)),$G$30,$E$30)*(IF(NOT(ISBLANK($G$36)),$G$36,$E$36)/100)</f>
        <v>0</v>
      </c>
      <c r="T182" s="20" t="s">
        <v>109</v>
      </c>
    </row>
    <row r="183" spans="2:21" hidden="1" outlineLevel="1" x14ac:dyDescent="0.2">
      <c r="B183" s="17"/>
      <c r="C183" s="17"/>
      <c r="D183" s="17"/>
      <c r="E183" s="17"/>
      <c r="F183" s="20"/>
      <c r="G183" s="20"/>
      <c r="H183" s="20"/>
      <c r="I183" s="17"/>
      <c r="J183" s="20"/>
      <c r="K183" s="20"/>
      <c r="L183" s="17"/>
      <c r="N183" s="17"/>
      <c r="O183" s="45" t="s">
        <v>155</v>
      </c>
      <c r="P183" s="17"/>
      <c r="Q183" s="30"/>
      <c r="R183" s="17"/>
      <c r="S183" s="42">
        <f>IF(NOT(ISBLANK($G$31)),$G$31,$E$31)</f>
        <v>0</v>
      </c>
      <c r="T183" s="20" t="s">
        <v>109</v>
      </c>
    </row>
    <row r="184" spans="2:21" ht="14.25" hidden="1" outlineLevel="1" x14ac:dyDescent="0.25">
      <c r="B184" s="69"/>
      <c r="C184" s="69" t="s">
        <v>69</v>
      </c>
      <c r="D184" s="70"/>
      <c r="E184" s="70"/>
      <c r="F184" s="71">
        <f>SUM(F185:F188)</f>
        <v>0</v>
      </c>
      <c r="G184" s="71">
        <f>SUM(G185:G188)</f>
        <v>0</v>
      </c>
      <c r="H184" s="71">
        <f>SUM(H185:H188)</f>
        <v>7299.0780000000004</v>
      </c>
      <c r="I184" s="70"/>
      <c r="J184" s="71">
        <f t="shared" ref="J184:J188" si="21">F184+G184</f>
        <v>0</v>
      </c>
      <c r="K184" s="71">
        <f t="shared" ref="K184:K187" si="22">SUM(F184:H184)</f>
        <v>7299.0780000000004</v>
      </c>
      <c r="L184" s="76" t="s">
        <v>198</v>
      </c>
      <c r="N184" s="17"/>
      <c r="O184" s="45" t="s">
        <v>162</v>
      </c>
      <c r="P184" s="17"/>
      <c r="Q184" s="30"/>
      <c r="R184" s="17"/>
      <c r="S184" s="42">
        <f>IF(NOT(ISBLANK($G$32)),$G$32,$E$32)/IF(NOT(ISBLANK($G$35)),$G$35,$E$35)+IF(NOT(ISBLANK($G$32)),$G$32,$E$32)*(IF(NOT(ISBLANK($G$36)),$G$36,$E$36)/100)</f>
        <v>0</v>
      </c>
      <c r="T184" s="20" t="s">
        <v>109</v>
      </c>
    </row>
    <row r="185" spans="2:21" ht="15.75" hidden="1" outlineLevel="1" x14ac:dyDescent="0.3">
      <c r="B185" s="302"/>
      <c r="C185" s="17"/>
      <c r="D185" s="17" t="s">
        <v>48</v>
      </c>
      <c r="E185" s="17"/>
      <c r="F185" s="38">
        <f>$E$154*IF(NOT(ISBLANK('Referenz Pflasterwerk'!$I36)),'Referenz Pflasterwerk'!$I36,'Referenz Pflasterwerk'!$F36)*IF(NOT(ISBLANK('Eingabe EF'!$AA21)),'Eingabe EF'!$AA21,'Eingabe EF'!$Y21)*IF(NOT(ISBLANK('Referenz Pflasterwerk'!$I$12)),'Referenz Pflasterwerk'!$I$12,'Referenz Pflasterwerk'!$F$12)</f>
        <v>0</v>
      </c>
      <c r="G185" s="38">
        <f>$E$154*IF(NOT(ISBLANK('Referenz Pflasterwerk'!$I36)),'Referenz Pflasterwerk'!$I36,'Referenz Pflasterwerk'!$F36)*IF(NOT(ISBLANK('Eingabe EF'!$AE21)),'Eingabe EF'!$AE21,'Eingabe EF'!$AC21)*IF(NOT(ISBLANK('Referenz Pflasterwerk'!$I$12)),'Referenz Pflasterwerk'!$I$12,'Referenz Pflasterwerk'!$F$12)</f>
        <v>0</v>
      </c>
      <c r="H185" s="38">
        <f>$E$154*IF(NOT(ISBLANK('Referenz Pflasterwerk'!$I36)),'Referenz Pflasterwerk'!$I36,'Referenz Pflasterwerk'!$F36)*IF(NOT(ISBLANK('Eingabe EF'!$AI21)),'Eingabe EF'!$AI21,'Eingabe EF'!$AG21)*IF(NOT(ISBLANK('Referenz Pflasterwerk'!$I$12)),'Referenz Pflasterwerk'!$I$12,'Referenz Pflasterwerk'!$F$12)</f>
        <v>2037.3937500000002</v>
      </c>
      <c r="I185" s="17"/>
      <c r="J185" s="38">
        <f t="shared" si="21"/>
        <v>0</v>
      </c>
      <c r="K185" s="38">
        <f t="shared" si="22"/>
        <v>2037.3937500000002</v>
      </c>
      <c r="L185" s="17" t="s">
        <v>199</v>
      </c>
      <c r="M185" s="43"/>
      <c r="N185" s="17"/>
      <c r="O185" s="17"/>
      <c r="P185" s="17"/>
      <c r="Q185" s="17"/>
      <c r="R185" s="17"/>
      <c r="S185" s="17"/>
      <c r="T185" s="17"/>
    </row>
    <row r="186" spans="2:21" ht="15.75" hidden="1" outlineLevel="1" x14ac:dyDescent="0.3">
      <c r="B186" s="302"/>
      <c r="C186" s="17"/>
      <c r="D186" s="17" t="s">
        <v>50</v>
      </c>
      <c r="E186" s="17"/>
      <c r="F186" s="38">
        <f>$E$155*IF(NOT(ISBLANK('Referenz Pflasterwerk'!$I37)),'Referenz Pflasterwerk'!$I37,'Referenz Pflasterwerk'!$F37)*IF(NOT(ISBLANK('Eingabe EF'!$AA22)),'Eingabe EF'!$AA22,'Eingabe EF'!$Y22)*IF(NOT(ISBLANK('Referenz Pflasterwerk'!$I$12)),'Referenz Pflasterwerk'!$I$12,'Referenz Pflasterwerk'!$F$12)</f>
        <v>0</v>
      </c>
      <c r="G186" s="38">
        <f>$E$155*IF(NOT(ISBLANK('Referenz Pflasterwerk'!$I37)),'Referenz Pflasterwerk'!$I37,'Referenz Pflasterwerk'!$F37)*IF(NOT(ISBLANK('Eingabe EF'!$AE22)),'Eingabe EF'!$AE22,'Eingabe EF'!$AC22)*IF(NOT(ISBLANK('Referenz Pflasterwerk'!$I$12)),'Referenz Pflasterwerk'!$I$12,'Referenz Pflasterwerk'!$F$12)</f>
        <v>0</v>
      </c>
      <c r="H186" s="38">
        <f>$E$155*IF(NOT(ISBLANK('Referenz Pflasterwerk'!$I37)),'Referenz Pflasterwerk'!$I37,'Referenz Pflasterwerk'!$F37)*IF(NOT(ISBLANK('Eingabe EF'!$AI22)),'Eingabe EF'!$AI22,'Eingabe EF'!$AG22)*IF(NOT(ISBLANK('Referenz Pflasterwerk'!$I$12)),'Referenz Pflasterwerk'!$I$12,'Referenz Pflasterwerk'!$F$12)</f>
        <v>4743.9105</v>
      </c>
      <c r="I186" s="17"/>
      <c r="J186" s="38">
        <f t="shared" si="21"/>
        <v>0</v>
      </c>
      <c r="K186" s="38">
        <f t="shared" si="22"/>
        <v>4743.9105</v>
      </c>
      <c r="L186" s="17" t="s">
        <v>199</v>
      </c>
      <c r="M186" s="43"/>
      <c r="N186" s="17"/>
      <c r="O186" s="17"/>
      <c r="P186" s="17"/>
      <c r="Q186" s="17"/>
      <c r="R186" s="17"/>
      <c r="S186" s="17"/>
      <c r="T186" s="17"/>
    </row>
    <row r="187" spans="2:21" ht="15.75" hidden="1" outlineLevel="1" x14ac:dyDescent="0.3">
      <c r="B187" s="302"/>
      <c r="C187" s="17"/>
      <c r="D187" s="17" t="s">
        <v>51</v>
      </c>
      <c r="E187" s="17"/>
      <c r="F187" s="38">
        <f>$E$156*IF(NOT(ISBLANK('Referenz Pflasterwerk'!$I38)),'Referenz Pflasterwerk'!$I38,'Referenz Pflasterwerk'!$F38)*IF(NOT(ISBLANK('Eingabe EF'!$AA23)),'Eingabe EF'!$AA23,'Eingabe EF'!$Y23)*IF(NOT(ISBLANK('Referenz Pflasterwerk'!$I$12)),'Referenz Pflasterwerk'!$I$12,'Referenz Pflasterwerk'!$F$12)</f>
        <v>0</v>
      </c>
      <c r="G187" s="38">
        <f>$E$156*IF(NOT(ISBLANK('Referenz Pflasterwerk'!$I38)),'Referenz Pflasterwerk'!$I38,'Referenz Pflasterwerk'!$F38)*IF(NOT(ISBLANK('Eingabe EF'!$AE23)),'Eingabe EF'!$AE23,'Eingabe EF'!$AC23)*IF(NOT(ISBLANK('Referenz Pflasterwerk'!$I$12)),'Referenz Pflasterwerk'!$I$12,'Referenz Pflasterwerk'!$F$12)</f>
        <v>0</v>
      </c>
      <c r="H187" s="38">
        <f>$E$156*IF(NOT(ISBLANK('Referenz Pflasterwerk'!$I38)),'Referenz Pflasterwerk'!$I38,'Referenz Pflasterwerk'!$F38)*IF(NOT(ISBLANK('Eingabe EF'!$AI23)),'Eingabe EF'!$AI23,'Eingabe EF'!$AG23)*IF(NOT(ISBLANK('Referenz Pflasterwerk'!$I$12)),'Referenz Pflasterwerk'!$I$12,'Referenz Pflasterwerk'!$F$12)</f>
        <v>517.77374999999995</v>
      </c>
      <c r="I187" s="17"/>
      <c r="J187" s="38">
        <f t="shared" si="21"/>
        <v>0</v>
      </c>
      <c r="K187" s="38">
        <f t="shared" si="22"/>
        <v>517.77374999999995</v>
      </c>
      <c r="L187" s="17" t="s">
        <v>199</v>
      </c>
      <c r="M187" s="43"/>
      <c r="N187" s="17"/>
      <c r="O187" s="17" t="s">
        <v>201</v>
      </c>
      <c r="P187" s="17"/>
      <c r="Q187" s="30"/>
      <c r="R187" s="17"/>
      <c r="S187" s="42">
        <f>F227*IF(NOT(ISBLANK('Eingabe Preise'!$K21)),'Eingabe Preise'!$K21,'Eingabe Preise'!$I21)</f>
        <v>4797.0396071999994</v>
      </c>
      <c r="T187" s="20" t="s">
        <v>109</v>
      </c>
    </row>
    <row r="188" spans="2:21" ht="15.75" hidden="1" outlineLevel="1" x14ac:dyDescent="0.3">
      <c r="B188" s="302"/>
      <c r="C188" s="17"/>
      <c r="D188" s="17" t="s">
        <v>163</v>
      </c>
      <c r="E188" s="17"/>
      <c r="F188" s="38">
        <f>$E$157*IF(NOT(ISBLANK('Referenz Pflasterwerk'!$I39)),'Referenz Pflasterwerk'!$I39,'Referenz Pflasterwerk'!$F39)*IF(NOT(ISBLANK('Eingabe EF'!$AA24)),'Eingabe EF'!$AA24,0)*IF(NOT(ISBLANK('Referenz Pflasterwerk'!$I$12)),'Referenz Pflasterwerk'!$I$12,'Referenz Pflasterwerk'!$F$12)</f>
        <v>0</v>
      </c>
      <c r="G188" s="38">
        <f>$E$157*IF(NOT(ISBLANK('Referenz Pflasterwerk'!$I39)),'Referenz Pflasterwerk'!$I39,'Referenz Pflasterwerk'!$F39)*IF(NOT(ISBLANK('Eingabe EF'!$AE24)),'Eingabe EF'!$AE24,0)*IF(NOT(ISBLANK('Referenz Pflasterwerk'!$I$12)),'Referenz Pflasterwerk'!$I$12,'Referenz Pflasterwerk'!$F$12)</f>
        <v>0</v>
      </c>
      <c r="H188" s="38">
        <f>$E$157*IF(NOT(ISBLANK('Referenz Pflasterwerk'!$I39)),'Referenz Pflasterwerk'!$I39,'Referenz Pflasterwerk'!$F39)*IF(NOT(ISBLANK('Eingabe EF'!$AI24)),'Eingabe EF'!$AI24,0)*IF(NOT(ISBLANK('Referenz Pflasterwerk'!$I$12)),'Referenz Pflasterwerk'!$I$12,'Referenz Pflasterwerk'!$F$12)</f>
        <v>0</v>
      </c>
      <c r="I188" s="17"/>
      <c r="J188" s="38">
        <f t="shared" si="21"/>
        <v>0</v>
      </c>
      <c r="K188" s="38">
        <f t="shared" ref="K188" si="23">SUM(F188:H188)</f>
        <v>0</v>
      </c>
      <c r="L188" s="17" t="s">
        <v>199</v>
      </c>
      <c r="M188" s="43"/>
      <c r="N188" s="17"/>
      <c r="O188" s="17" t="s">
        <v>202</v>
      </c>
      <c r="P188" s="17"/>
      <c r="Q188" s="30"/>
      <c r="R188" s="17"/>
      <c r="S188" s="42">
        <f>G227*IF(NOT(ISBLANK('Eingabe Preise'!$K22)),'Eingabe Preise'!$K22,'Eingabe Preise'!$I22)</f>
        <v>9366.9335316535035</v>
      </c>
      <c r="T188" s="20" t="s">
        <v>109</v>
      </c>
    </row>
    <row r="189" spans="2:21" ht="15.75" hidden="1" outlineLevel="1" x14ac:dyDescent="0.3">
      <c r="B189" s="17"/>
      <c r="C189" s="17"/>
      <c r="D189" s="17"/>
      <c r="E189" s="17"/>
      <c r="F189" s="20"/>
      <c r="G189" s="20"/>
      <c r="H189" s="20"/>
      <c r="I189" s="17"/>
      <c r="J189" s="17"/>
      <c r="K189" s="20"/>
      <c r="L189" s="20"/>
      <c r="M189" s="43"/>
      <c r="N189" s="17"/>
      <c r="O189" s="17" t="s">
        <v>203</v>
      </c>
      <c r="P189" s="17"/>
      <c r="Q189" s="30"/>
      <c r="R189" s="17"/>
      <c r="S189" s="42">
        <f>H227*IF(NOT(ISBLANK('Eingabe Preise'!$K23)),'Eingabe Preise'!$K23,'Eingabe Preise'!$I23)</f>
        <v>455623.90625092876</v>
      </c>
      <c r="T189" s="20" t="s">
        <v>109</v>
      </c>
    </row>
    <row r="190" spans="2:21" ht="14.25" hidden="1" outlineLevel="1" x14ac:dyDescent="0.25">
      <c r="B190" s="69"/>
      <c r="C190" s="69" t="s">
        <v>178</v>
      </c>
      <c r="D190" s="70"/>
      <c r="E190" s="70"/>
      <c r="F190" s="71">
        <f>SUM(F191:F193)</f>
        <v>0</v>
      </c>
      <c r="G190" s="71">
        <f>SUM(G191:G193)</f>
        <v>0</v>
      </c>
      <c r="H190" s="71">
        <f>SUM(H191:H193)</f>
        <v>387.03000000000003</v>
      </c>
      <c r="I190" s="70"/>
      <c r="J190" s="71">
        <f t="shared" ref="J190" si="24">F190+G190</f>
        <v>0</v>
      </c>
      <c r="K190" s="71">
        <f t="shared" ref="K190" si="25">SUM(F190:H190)</f>
        <v>387.03000000000003</v>
      </c>
      <c r="L190" s="76" t="s">
        <v>198</v>
      </c>
      <c r="M190" s="43"/>
      <c r="N190" s="17"/>
      <c r="O190" s="17"/>
      <c r="P190" s="17"/>
      <c r="Q190" s="30"/>
      <c r="R190" s="17"/>
      <c r="S190" s="66"/>
      <c r="T190" s="17"/>
    </row>
    <row r="191" spans="2:21" ht="15.75" hidden="1" outlineLevel="1" x14ac:dyDescent="0.3">
      <c r="B191" s="17"/>
      <c r="C191" s="17"/>
      <c r="D191" s="17" t="s">
        <v>179</v>
      </c>
      <c r="E191" s="17"/>
      <c r="F191" s="38">
        <f>IF(NOT(ISBLANK('Referenz Pflasterwerk'!$I42)),'Referenz Pflasterwerk'!$I42,'Referenz Pflasterwerk'!$F42)*IF(NOT(ISBLANK('Eingabe EF'!$AA27)),'Eingabe EF'!$AA27,'Eingabe EF'!$Y27)*IF(NOT(ISBLANK('Referenz Pflasterwerk'!$I$12)),'Referenz Pflasterwerk'!$I$12,'Referenz Pflasterwerk'!$F$12)</f>
        <v>0</v>
      </c>
      <c r="G191" s="38">
        <f>IF(NOT(ISBLANK('Referenz Pflasterwerk'!$I42)),'Referenz Pflasterwerk'!$I42,'Referenz Pflasterwerk'!$F42)*IF(NOT(ISBLANK('Eingabe EF'!$AE27)),'Eingabe EF'!$AE27,'Eingabe EF'!$AC27)*IF(NOT(ISBLANK('Referenz Pflasterwerk'!$I$12)),'Referenz Pflasterwerk'!$I$12,'Referenz Pflasterwerk'!$F$12)</f>
        <v>0</v>
      </c>
      <c r="H191" s="38">
        <f>IF(NOT(ISBLANK('Referenz Pflasterwerk'!$I42)),'Referenz Pflasterwerk'!$I42,'Referenz Pflasterwerk'!$F42)*IF(NOT(ISBLANK('Eingabe EF'!$AI27)),'Eingabe EF'!$AI27,'Eingabe EF'!$AG27)*IF(NOT(ISBLANK('Referenz Pflasterwerk'!$I$12)),'Referenz Pflasterwerk'!$I$12,'Referenz Pflasterwerk'!$F$12)</f>
        <v>387.03000000000003</v>
      </c>
      <c r="I191" s="17"/>
      <c r="J191" s="38">
        <f>F191+G191</f>
        <v>0</v>
      </c>
      <c r="K191" s="38">
        <f>SUM(F191:H191)</f>
        <v>387.03000000000003</v>
      </c>
      <c r="L191" s="17" t="s">
        <v>199</v>
      </c>
      <c r="M191" s="43"/>
      <c r="N191" s="17"/>
      <c r="O191" s="17"/>
      <c r="P191" s="17"/>
      <c r="Q191" s="30"/>
      <c r="R191" s="17"/>
      <c r="S191" s="17"/>
      <c r="T191" s="17"/>
    </row>
    <row r="192" spans="2:21" ht="15.75" hidden="1" outlineLevel="1" x14ac:dyDescent="0.3">
      <c r="B192" s="17"/>
      <c r="C192" s="17"/>
      <c r="D192" s="17" t="s">
        <v>180</v>
      </c>
      <c r="E192" s="17"/>
      <c r="F192" s="38">
        <f>IF(NOT(ISBLANK('Referenz Pflasterwerk'!$I43)),'Referenz Pflasterwerk'!$I43,'Referenz Pflasterwerk'!$F43)*IF(NOT(ISBLANK('Eingabe EF'!$AA28)),'Eingabe EF'!$AA28,0)*IF(NOT(ISBLANK('Referenz Pflasterwerk'!$I$12)),'Referenz Pflasterwerk'!$I$12,'Referenz Pflasterwerk'!$F$12)</f>
        <v>0</v>
      </c>
      <c r="G192" s="38">
        <f>IF(NOT(ISBLANK('Referenz Pflasterwerk'!$I43)),'Referenz Pflasterwerk'!$I43,'Referenz Pflasterwerk'!$F43)*IF(NOT(ISBLANK('Eingabe EF'!$AE28)),'Eingabe EF'!$AE28,0)*IF(NOT(ISBLANK('Referenz Pflasterwerk'!$I$12)),'Referenz Pflasterwerk'!$I$12,'Referenz Pflasterwerk'!$F$12)</f>
        <v>0</v>
      </c>
      <c r="H192" s="38">
        <f>IF(NOT(ISBLANK('Referenz Pflasterwerk'!$I43)),'Referenz Pflasterwerk'!$I43,'Referenz Pflasterwerk'!$F43)*IF(NOT(ISBLANK('Eingabe EF'!$AI28)),'Eingabe EF'!$AI28,0)*IF(NOT(ISBLANK('Referenz Pflasterwerk'!$I$12)),'Referenz Pflasterwerk'!$I$12,'Referenz Pflasterwerk'!$F$12)</f>
        <v>0</v>
      </c>
      <c r="I192" s="17"/>
      <c r="J192" s="38">
        <f t="shared" ref="J192:J193" si="26">F192+G192</f>
        <v>0</v>
      </c>
      <c r="K192" s="38">
        <f t="shared" ref="K192:K193" si="27">SUM(F192:H192)</f>
        <v>0</v>
      </c>
      <c r="L192" s="17" t="s">
        <v>199</v>
      </c>
      <c r="M192" s="43"/>
      <c r="N192" s="17"/>
      <c r="O192" s="17"/>
      <c r="P192" s="17"/>
      <c r="Q192" s="30"/>
      <c r="R192" s="17"/>
      <c r="S192" s="66"/>
      <c r="T192" s="17"/>
    </row>
    <row r="193" spans="2:19" ht="15.75" hidden="1" outlineLevel="1" x14ac:dyDescent="0.3">
      <c r="B193" s="17"/>
      <c r="C193" s="17"/>
      <c r="D193" s="17" t="s">
        <v>181</v>
      </c>
      <c r="E193" s="17"/>
      <c r="F193" s="38">
        <f>IF(NOT(ISBLANK('Referenz Pflasterwerk'!$I44)),'Referenz Pflasterwerk'!$I44,'Referenz Pflasterwerk'!$F44)*IF(NOT(ISBLANK('Eingabe EF'!$AA29)),'Eingabe EF'!$AA29,0)*IF(NOT(ISBLANK('Referenz Pflasterwerk'!$I$12)),'Referenz Pflasterwerk'!$I$12,'Referenz Pflasterwerk'!$F$12)</f>
        <v>0</v>
      </c>
      <c r="G193" s="38">
        <f>IF(NOT(ISBLANK('Referenz Pflasterwerk'!$I44)),'Referenz Pflasterwerk'!$I44,'Referenz Pflasterwerk'!$F44)*IF(NOT(ISBLANK('Eingabe EF'!$AE29)),'Eingabe EF'!$AE29,0)*IF(NOT(ISBLANK('Referenz Pflasterwerk'!$I$12)),'Referenz Pflasterwerk'!$I$12,'Referenz Pflasterwerk'!$F$12)</f>
        <v>0</v>
      </c>
      <c r="H193" s="38">
        <f>IF(NOT(ISBLANK('Referenz Pflasterwerk'!$I44)),'Referenz Pflasterwerk'!$I44,'Referenz Pflasterwerk'!$F44)*IF(NOT(ISBLANK('Eingabe EF'!$AI29)),'Eingabe EF'!$AI29,0)*IF(NOT(ISBLANK('Referenz Pflasterwerk'!$I$12)),'Referenz Pflasterwerk'!$I$12,'Referenz Pflasterwerk'!$F$12)</f>
        <v>0</v>
      </c>
      <c r="I193" s="17"/>
      <c r="J193" s="38">
        <f t="shared" si="26"/>
        <v>0</v>
      </c>
      <c r="K193" s="38">
        <f t="shared" si="27"/>
        <v>0</v>
      </c>
      <c r="L193" s="17" t="s">
        <v>199</v>
      </c>
      <c r="M193" s="43"/>
      <c r="N193" s="43"/>
      <c r="O193" s="43"/>
      <c r="P193" s="43"/>
      <c r="Q193" s="43"/>
      <c r="R193" s="43"/>
      <c r="S193" s="43"/>
    </row>
    <row r="194" spans="2:19" hidden="1" outlineLevel="1" x14ac:dyDescent="0.2">
      <c r="B194" s="17"/>
      <c r="C194" s="17"/>
      <c r="D194" s="17"/>
      <c r="E194" s="17"/>
      <c r="F194" s="20"/>
      <c r="G194" s="20"/>
      <c r="H194" s="20"/>
      <c r="I194" s="17"/>
      <c r="J194" s="17"/>
      <c r="K194" s="20"/>
      <c r="L194" s="20"/>
      <c r="M194" s="43"/>
      <c r="N194" s="43"/>
      <c r="O194" s="43"/>
      <c r="P194" s="43"/>
      <c r="Q194" s="43"/>
      <c r="R194" s="43"/>
      <c r="S194" s="43"/>
    </row>
    <row r="195" spans="2:19" ht="14.25" hidden="1" outlineLevel="1" x14ac:dyDescent="0.25">
      <c r="B195" s="17"/>
      <c r="C195" s="17"/>
      <c r="D195" s="21" t="s">
        <v>58</v>
      </c>
      <c r="E195" s="21"/>
      <c r="F195" s="74">
        <f>IF(NOT(ISBLANK('Referenz Pflasterwerk'!$I46)),'Referenz Pflasterwerk'!$I46,'Referenz Pflasterwerk'!$F46)*IF(NOT(ISBLANK('Eingabe EF'!$AA31)),'Eingabe EF'!$AA31,'Eingabe EF'!$Y31)*IF(NOT(ISBLANK('Referenz Pflasterwerk'!$I$12)),'Referenz Pflasterwerk'!$I$12,'Referenz Pflasterwerk'!$F$12)</f>
        <v>0</v>
      </c>
      <c r="G195" s="74">
        <f>IF(NOT(ISBLANK('Referenz Pflasterwerk'!$I46)),'Referenz Pflasterwerk'!$I46,'Referenz Pflasterwerk'!$F46)*IF(NOT(ISBLANK('Eingabe EF'!$AE31)),'Eingabe EF'!$AE31,'Eingabe EF'!$AC31)*IF(NOT(ISBLANK('Referenz Pflasterwerk'!$I$12)),'Referenz Pflasterwerk'!$I$12,'Referenz Pflasterwerk'!$F$12)</f>
        <v>0</v>
      </c>
      <c r="H195" s="74">
        <f>IF(NOT(ISBLANK('Referenz Pflasterwerk'!$I46)),'Referenz Pflasterwerk'!$I46,'Referenz Pflasterwerk'!$F46)*IF(NOT(ISBLANK('Eingabe EF'!$AI31)),'Eingabe EF'!$AI31,'Eingabe EF'!$AG31)*IF(NOT(ISBLANK('Referenz Pflasterwerk'!$I$12)),'Referenz Pflasterwerk'!$I$12,'Referenz Pflasterwerk'!$F$12)</f>
        <v>1040</v>
      </c>
      <c r="I195" s="21"/>
      <c r="J195" s="74">
        <f>F195+G195</f>
        <v>0</v>
      </c>
      <c r="K195" s="74">
        <f t="shared" ref="K195" si="28">SUM(F195:H195)</f>
        <v>1040</v>
      </c>
      <c r="L195" s="21" t="s">
        <v>198</v>
      </c>
      <c r="M195" s="43"/>
      <c r="N195" s="43"/>
      <c r="O195" s="43"/>
      <c r="P195" s="43"/>
      <c r="Q195" s="43"/>
      <c r="R195" s="43"/>
      <c r="S195" s="43"/>
    </row>
    <row r="196" spans="2:19" hidden="1" outlineLevel="1" x14ac:dyDescent="0.2">
      <c r="B196" s="17"/>
      <c r="C196" s="17"/>
      <c r="D196" s="17"/>
      <c r="E196" s="17"/>
      <c r="F196" s="20"/>
      <c r="G196" s="20"/>
      <c r="H196" s="20"/>
      <c r="I196" s="17"/>
      <c r="J196" s="17"/>
      <c r="K196" s="20"/>
      <c r="L196" s="20"/>
      <c r="M196" s="43"/>
      <c r="N196" s="43"/>
      <c r="O196" s="43"/>
      <c r="P196" s="43"/>
      <c r="Q196" s="43"/>
      <c r="R196" s="43"/>
      <c r="S196" s="43"/>
    </row>
    <row r="197" spans="2:19" ht="14.25" hidden="1" outlineLevel="1" x14ac:dyDescent="0.25">
      <c r="B197" s="69"/>
      <c r="C197" s="69" t="s">
        <v>182</v>
      </c>
      <c r="D197" s="70"/>
      <c r="E197" s="70"/>
      <c r="F197" s="71">
        <f>SUM(F198:F200)</f>
        <v>0</v>
      </c>
      <c r="G197" s="71">
        <f>SUM(G198:G200)</f>
        <v>0</v>
      </c>
      <c r="H197" s="71">
        <f>SUM(H198:H200)</f>
        <v>424.19999999999993</v>
      </c>
      <c r="I197" s="70"/>
      <c r="J197" s="71">
        <f t="shared" ref="J197" si="29">F197+G197</f>
        <v>0</v>
      </c>
      <c r="K197" s="71">
        <f t="shared" ref="K197" si="30">SUM(F197:H197)</f>
        <v>424.19999999999993</v>
      </c>
      <c r="L197" s="76" t="s">
        <v>198</v>
      </c>
      <c r="M197" s="43"/>
      <c r="N197" s="43"/>
      <c r="O197" s="43"/>
      <c r="P197" s="43"/>
      <c r="Q197" s="43"/>
      <c r="R197" s="43"/>
      <c r="S197" s="43"/>
    </row>
    <row r="198" spans="2:19" ht="15.75" hidden="1" outlineLevel="1" x14ac:dyDescent="0.3">
      <c r="B198" s="17"/>
      <c r="C198" s="17"/>
      <c r="D198" s="17" t="s">
        <v>60</v>
      </c>
      <c r="E198" s="17"/>
      <c r="F198" s="38">
        <f>IF(NOT(ISBLANK('Referenz Pflasterwerk'!$I49)),'Referenz Pflasterwerk'!$I49,'Referenz Pflasterwerk'!$F49)*IF(NOT(ISBLANK('Eingabe EF'!$AA34)),'Eingabe EF'!$AA34,'Eingabe EF'!$Y34)*IF(NOT(ISBLANK('Referenz Pflasterwerk'!$I$12)),'Referenz Pflasterwerk'!$I$12,'Referenz Pflasterwerk'!$F$12)</f>
        <v>0</v>
      </c>
      <c r="G198" s="38">
        <f>IF(NOT(ISBLANK('Referenz Pflasterwerk'!$I49)),'Referenz Pflasterwerk'!$I49,'Referenz Pflasterwerk'!$F49)*IF(NOT(ISBLANK('Eingabe EF'!$AE34)),'Eingabe EF'!$AE34,'Eingabe EF'!$AC34)*IF(NOT(ISBLANK('Referenz Pflasterwerk'!$I$12)),'Referenz Pflasterwerk'!$I$12,'Referenz Pflasterwerk'!$F$12)</f>
        <v>0</v>
      </c>
      <c r="H198" s="38">
        <f>IF(NOT(ISBLANK('Referenz Pflasterwerk'!$I49)),'Referenz Pflasterwerk'!$I49,'Referenz Pflasterwerk'!$F49)*IF(NOT(ISBLANK('Eingabe EF'!$AI34)),'Eingabe EF'!$AI34,'Eingabe EF'!$AG34)*IF(NOT(ISBLANK('Referenz Pflasterwerk'!$I$12)),'Referenz Pflasterwerk'!$I$12,'Referenz Pflasterwerk'!$F$12)</f>
        <v>356.4</v>
      </c>
      <c r="I198" s="17"/>
      <c r="J198" s="38">
        <f>F198+G198</f>
        <v>0</v>
      </c>
      <c r="K198" s="38">
        <f>SUM(F198:H198)</f>
        <v>356.4</v>
      </c>
      <c r="L198" s="17" t="s">
        <v>199</v>
      </c>
      <c r="M198" s="43"/>
      <c r="N198" s="43"/>
      <c r="O198" s="43"/>
      <c r="P198" s="43"/>
      <c r="Q198" s="43"/>
      <c r="R198" s="43"/>
      <c r="S198" s="43"/>
    </row>
    <row r="199" spans="2:19" ht="15.75" hidden="1" outlineLevel="1" x14ac:dyDescent="0.3">
      <c r="B199" s="302"/>
      <c r="C199" s="17"/>
      <c r="D199" s="17" t="s">
        <v>61</v>
      </c>
      <c r="E199" s="17"/>
      <c r="F199" s="38">
        <f>IF(NOT(ISBLANK('Referenz Pflasterwerk'!$I50)),'Referenz Pflasterwerk'!$I50,'Referenz Pflasterwerk'!$F50)*IF(NOT(ISBLANK('Eingabe EF'!$AA35)),'Eingabe EF'!$AA35,'Eingabe EF'!$Y35)*IF(NOT(ISBLANK('Referenz Pflasterwerk'!$I$12)),'Referenz Pflasterwerk'!$I$12,'Referenz Pflasterwerk'!$F$12)</f>
        <v>0</v>
      </c>
      <c r="G199" s="38">
        <f>IF(NOT(ISBLANK('Referenz Pflasterwerk'!$I50)),'Referenz Pflasterwerk'!$I50,'Referenz Pflasterwerk'!$F50)*IF(NOT(ISBLANK('Eingabe EF'!$AE35)),'Eingabe EF'!$AE35,'Eingabe EF'!$AC35)*IF(NOT(ISBLANK('Referenz Pflasterwerk'!$I$12)),'Referenz Pflasterwerk'!$I$12,'Referenz Pflasterwerk'!$F$12)</f>
        <v>0</v>
      </c>
      <c r="H199" s="38">
        <f>IF(NOT(ISBLANK('Referenz Pflasterwerk'!$I50)),'Referenz Pflasterwerk'!$I50,'Referenz Pflasterwerk'!$F50)*IF(NOT(ISBLANK('Eingabe EF'!$AI35)),'Eingabe EF'!$AI35,'Eingabe EF'!$AG35)*IF(NOT(ISBLANK('Referenz Pflasterwerk'!$I$12)),'Referenz Pflasterwerk'!$I$12,'Referenz Pflasterwerk'!$F$12)</f>
        <v>0</v>
      </c>
      <c r="I199" s="17"/>
      <c r="J199" s="38">
        <f>F199+G199</f>
        <v>0</v>
      </c>
      <c r="K199" s="38">
        <f>SUM(F199:H199)</f>
        <v>0</v>
      </c>
      <c r="L199" s="17" t="s">
        <v>199</v>
      </c>
      <c r="M199" s="43"/>
      <c r="N199" s="43"/>
      <c r="O199" s="43"/>
      <c r="P199" s="43"/>
      <c r="Q199" s="43"/>
      <c r="R199" s="43"/>
      <c r="S199" s="43"/>
    </row>
    <row r="200" spans="2:19" ht="15.75" hidden="1" outlineLevel="1" x14ac:dyDescent="0.3">
      <c r="B200" s="302"/>
      <c r="C200" s="17"/>
      <c r="D200" s="17" t="s">
        <v>62</v>
      </c>
      <c r="E200" s="17"/>
      <c r="F200" s="38">
        <f>IF(NOT(ISBLANK('Referenz Pflasterwerk'!$I51)),'Referenz Pflasterwerk'!$I51,'Referenz Pflasterwerk'!$F51)*IF(NOT(ISBLANK('Eingabe EF'!$AA36)),'Eingabe EF'!$AA36,'Eingabe EF'!$Y36)*IF(NOT(ISBLANK('Referenz Pflasterwerk'!$I$12)),'Referenz Pflasterwerk'!$I$12,'Referenz Pflasterwerk'!$F$12)</f>
        <v>0</v>
      </c>
      <c r="G200" s="38">
        <f>IF(NOT(ISBLANK('Referenz Pflasterwerk'!$I51)),'Referenz Pflasterwerk'!$I51,'Referenz Pflasterwerk'!$F51)*IF(NOT(ISBLANK('Eingabe EF'!$AE36)),'Eingabe EF'!$AE36,'Eingabe EF'!$AC36)*IF(NOT(ISBLANK('Referenz Pflasterwerk'!$I$12)),'Referenz Pflasterwerk'!$I$12,'Referenz Pflasterwerk'!$F$12)</f>
        <v>0</v>
      </c>
      <c r="H200" s="38">
        <f>IF(NOT(ISBLANK('Referenz Pflasterwerk'!$I51)),'Referenz Pflasterwerk'!$I51,'Referenz Pflasterwerk'!$F51)*IF(NOT(ISBLANK('Eingabe EF'!$AI36)),'Eingabe EF'!$AI36,'Eingabe EF'!$AG36)*IF(NOT(ISBLANK('Referenz Pflasterwerk'!$I$12)),'Referenz Pflasterwerk'!$I$12,'Referenz Pflasterwerk'!$F$12)</f>
        <v>67.799999999999983</v>
      </c>
      <c r="I200" s="17"/>
      <c r="J200" s="38">
        <f>F200+G200</f>
        <v>0</v>
      </c>
      <c r="K200" s="38">
        <f>SUM(F200:H200)</f>
        <v>67.799999999999983</v>
      </c>
      <c r="L200" s="17" t="s">
        <v>199</v>
      </c>
      <c r="M200" s="43"/>
      <c r="N200" s="43"/>
      <c r="O200" s="43"/>
      <c r="P200" s="43"/>
      <c r="Q200" s="43"/>
      <c r="R200" s="43"/>
      <c r="S200" s="43"/>
    </row>
    <row r="201" spans="2:19" hidden="1" outlineLevel="1" x14ac:dyDescent="0.2">
      <c r="B201" s="17"/>
      <c r="C201" s="17"/>
      <c r="D201" s="17"/>
      <c r="E201" s="17"/>
      <c r="F201" s="20"/>
      <c r="G201" s="20"/>
      <c r="H201" s="20"/>
      <c r="I201" s="17"/>
      <c r="J201" s="17"/>
      <c r="K201" s="20"/>
      <c r="L201" s="20"/>
      <c r="M201" s="43"/>
      <c r="N201" s="43"/>
      <c r="O201" s="43"/>
      <c r="P201" s="43"/>
      <c r="Q201" s="43"/>
      <c r="R201" s="43"/>
      <c r="S201" s="43"/>
    </row>
    <row r="202" spans="2:19" ht="14.25" hidden="1" outlineLevel="1" x14ac:dyDescent="0.25">
      <c r="B202" s="69"/>
      <c r="C202" s="69" t="s">
        <v>52</v>
      </c>
      <c r="D202" s="70"/>
      <c r="E202" s="70"/>
      <c r="F202" s="71">
        <f>SUM(F203:F206)</f>
        <v>0</v>
      </c>
      <c r="G202" s="71">
        <f>SUM(G203:G206)</f>
        <v>0</v>
      </c>
      <c r="H202" s="71">
        <f>SUM(H203:H206)</f>
        <v>185.55932668689491</v>
      </c>
      <c r="I202" s="70"/>
      <c r="J202" s="71">
        <f t="shared" ref="J202:J206" si="31">F202+G202</f>
        <v>0</v>
      </c>
      <c r="K202" s="71">
        <f t="shared" ref="K202" si="32">SUM(F202:H202)</f>
        <v>185.55932668689491</v>
      </c>
      <c r="L202" s="76" t="s">
        <v>198</v>
      </c>
      <c r="M202" s="43"/>
      <c r="N202" s="43"/>
      <c r="O202" s="43"/>
      <c r="P202" s="43"/>
      <c r="Q202" s="43"/>
      <c r="R202" s="43"/>
      <c r="S202" s="43"/>
    </row>
    <row r="203" spans="2:19" ht="15.75" hidden="1" outlineLevel="1" x14ac:dyDescent="0.3">
      <c r="B203" s="17"/>
      <c r="C203" s="17"/>
      <c r="D203" s="17" t="s">
        <v>53</v>
      </c>
      <c r="E203" s="17"/>
      <c r="F203" s="38">
        <f>IF(NOT(ISBLANK('Referenz Pflasterwerk'!$I$53)),'Referenz Pflasterwerk'!$I$53,'Referenz Pflasterwerk'!$F$53)*IF(NOT(ISBLANK('Referenz Pflasterwerk'!$I54)),'Referenz Pflasterwerk'!$I54,'Referenz Pflasterwerk'!$F54)*IF(NOT(ISBLANK('Eingabe EF'!$AA39)),'Eingabe EF'!$AA39,'Eingabe EF'!$Y39)*IF(NOT(ISBLANK('Referenz Pflasterwerk'!$I$12)),'Referenz Pflasterwerk'!$I$12,'Referenz Pflasterwerk'!$F$12)</f>
        <v>0</v>
      </c>
      <c r="G203" s="38">
        <f>IF(NOT(ISBLANK('Referenz Pflasterwerk'!$I$53)),'Referenz Pflasterwerk'!$I$53,'Referenz Pflasterwerk'!$F$53)*IF(NOT(ISBLANK('Referenz Pflasterwerk'!$I54)),'Referenz Pflasterwerk'!$I54,'Referenz Pflasterwerk'!$F54)*IF(NOT(ISBLANK('Eingabe EF'!$AE39)),'Eingabe EF'!$AE39,'Eingabe EF'!$AC39)*IF(NOT(ISBLANK('Referenz Pflasterwerk'!$I$12)),'Referenz Pflasterwerk'!$I$12,'Referenz Pflasterwerk'!$F$12)</f>
        <v>0</v>
      </c>
      <c r="H203" s="38">
        <f>IF(NOT(ISBLANK('Referenz Pflasterwerk'!$I$53)),'Referenz Pflasterwerk'!$I$53,'Referenz Pflasterwerk'!$F$53)*IF(NOT(ISBLANK('Referenz Pflasterwerk'!$I54)),'Referenz Pflasterwerk'!$I54,'Referenz Pflasterwerk'!$F54)*IF(NOT(ISBLANK('Eingabe EF'!$AI39)),'Eingabe EF'!$AI39,'Eingabe EF'!$AG39)*IF(NOT(ISBLANK('Referenz Pflasterwerk'!$I$12)),'Referenz Pflasterwerk'!$I$12,'Referenz Pflasterwerk'!$F$12)</f>
        <v>59.997399219765924</v>
      </c>
      <c r="I203" s="17"/>
      <c r="J203" s="38">
        <f t="shared" si="31"/>
        <v>0</v>
      </c>
      <c r="K203" s="38">
        <f t="shared" ref="K203:K206" si="33">SUM(F203:H203)</f>
        <v>59.997399219765924</v>
      </c>
      <c r="L203" s="17" t="s">
        <v>199</v>
      </c>
      <c r="M203" s="43"/>
      <c r="N203" s="43"/>
      <c r="O203" s="43"/>
      <c r="P203" s="43"/>
      <c r="Q203" s="43"/>
      <c r="R203" s="43"/>
      <c r="S203" s="43"/>
    </row>
    <row r="204" spans="2:19" ht="15.75" hidden="1" outlineLevel="1" x14ac:dyDescent="0.3">
      <c r="B204" s="17"/>
      <c r="C204" s="17"/>
      <c r="D204" s="17" t="s">
        <v>55</v>
      </c>
      <c r="E204" s="17"/>
      <c r="F204" s="38">
        <f>IF(NOT(ISBLANK('Referenz Pflasterwerk'!$I$53)),'Referenz Pflasterwerk'!$I$53,'Referenz Pflasterwerk'!$F$53)*IF(NOT(ISBLANK('Referenz Pflasterwerk'!$I55)),'Referenz Pflasterwerk'!$I55,'Referenz Pflasterwerk'!$F55)*IF(NOT(ISBLANK('Eingabe EF'!$AA40)),'Eingabe EF'!$AA40,'Eingabe EF'!$Y40)*IF(NOT(ISBLANK('Referenz Pflasterwerk'!$I$12)),'Referenz Pflasterwerk'!$I$12,'Referenz Pflasterwerk'!$F$12)</f>
        <v>0</v>
      </c>
      <c r="G204" s="38">
        <f>IF(NOT(ISBLANK('Referenz Pflasterwerk'!$I$53)),'Referenz Pflasterwerk'!$I$53,'Referenz Pflasterwerk'!$F$53)*IF(NOT(ISBLANK('Referenz Pflasterwerk'!$I55)),'Referenz Pflasterwerk'!$I55,'Referenz Pflasterwerk'!$F55)*IF(NOT(ISBLANK('Eingabe EF'!$AE40)),'Eingabe EF'!$AE40,'Eingabe EF'!$AC40)*IF(NOT(ISBLANK('Referenz Pflasterwerk'!$I$12)),'Referenz Pflasterwerk'!$I$12,'Referenz Pflasterwerk'!$F$12)</f>
        <v>0</v>
      </c>
      <c r="H204" s="38">
        <f>IF(NOT(ISBLANK('Referenz Pflasterwerk'!$I$53)),'Referenz Pflasterwerk'!$I$53,'Referenz Pflasterwerk'!$F$53)*IF(NOT(ISBLANK('Referenz Pflasterwerk'!$I55)),'Referenz Pflasterwerk'!$I55,'Referenz Pflasterwerk'!$F55)*IF(NOT(ISBLANK('Eingabe EF'!$AI40)),'Eingabe EF'!$AI40,'Eingabe EF'!$AG40)*IF(NOT(ISBLANK('Referenz Pflasterwerk'!$I$12)),'Referenz Pflasterwerk'!$I$12,'Referenz Pflasterwerk'!$F$12)</f>
        <v>7.224692963444574</v>
      </c>
      <c r="I204" s="17"/>
      <c r="J204" s="38">
        <f t="shared" si="31"/>
        <v>0</v>
      </c>
      <c r="K204" s="38">
        <f t="shared" si="33"/>
        <v>7.224692963444574</v>
      </c>
      <c r="L204" s="17" t="s">
        <v>199</v>
      </c>
      <c r="M204" s="43"/>
      <c r="N204" s="43"/>
      <c r="O204" s="43"/>
      <c r="P204" s="43"/>
      <c r="Q204" s="43"/>
      <c r="R204" s="43"/>
      <c r="S204" s="43"/>
    </row>
    <row r="205" spans="2:19" ht="15.75" hidden="1" outlineLevel="1" x14ac:dyDescent="0.3">
      <c r="B205" s="17"/>
      <c r="C205" s="17"/>
      <c r="D205" s="17" t="s">
        <v>56</v>
      </c>
      <c r="E205" s="17"/>
      <c r="F205" s="38">
        <f>IF(NOT(ISBLANK('Referenz Pflasterwerk'!$I$53)),'Referenz Pflasterwerk'!$I$53,'Referenz Pflasterwerk'!$F$53)*IF(NOT(ISBLANK('Referenz Pflasterwerk'!$I56)),'Referenz Pflasterwerk'!$I56,'Referenz Pflasterwerk'!$F56)*IF(NOT(ISBLANK('Eingabe EF'!$AA41)),'Eingabe EF'!$AA41,'Eingabe EF'!$Y41)*IF(NOT(ISBLANK('Referenz Pflasterwerk'!$I$12)),'Referenz Pflasterwerk'!$I$12,'Referenz Pflasterwerk'!$F$12)</f>
        <v>0</v>
      </c>
      <c r="G205" s="38">
        <f>IF(NOT(ISBLANK('Referenz Pflasterwerk'!$I$53)),'Referenz Pflasterwerk'!$I$53,'Referenz Pflasterwerk'!$F$53)*IF(NOT(ISBLANK('Referenz Pflasterwerk'!$I56)),'Referenz Pflasterwerk'!$I56,'Referenz Pflasterwerk'!$F56)*IF(NOT(ISBLANK('Eingabe EF'!$AE41)),'Eingabe EF'!$AE41,'Eingabe EF'!$AC41)*IF(NOT(ISBLANK('Referenz Pflasterwerk'!$I$12)),'Referenz Pflasterwerk'!$I$12,'Referenz Pflasterwerk'!$F$12)</f>
        <v>0</v>
      </c>
      <c r="H205" s="38">
        <f>IF(NOT(ISBLANK('Referenz Pflasterwerk'!$I$53)),'Referenz Pflasterwerk'!$I$53,'Referenz Pflasterwerk'!$F$53)*IF(NOT(ISBLANK('Referenz Pflasterwerk'!$I56)),'Referenz Pflasterwerk'!$I56,'Referenz Pflasterwerk'!$F56)*IF(NOT(ISBLANK('Eingabe EF'!$AI41)),'Eingabe EF'!$AI41,'Eingabe EF'!$AG41)*IF(NOT(ISBLANK('Referenz Pflasterwerk'!$I$12)),'Referenz Pflasterwerk'!$I$12,'Referenz Pflasterwerk'!$F$12)</f>
        <v>1.7771998266146515E-2</v>
      </c>
      <c r="I205" s="17"/>
      <c r="J205" s="38">
        <f t="shared" si="31"/>
        <v>0</v>
      </c>
      <c r="K205" s="38">
        <f t="shared" si="33"/>
        <v>1.7771998266146515E-2</v>
      </c>
      <c r="L205" s="17" t="s">
        <v>199</v>
      </c>
      <c r="M205" s="43"/>
      <c r="N205" s="43"/>
      <c r="O205" s="43"/>
      <c r="P205" s="43"/>
      <c r="Q205" s="43"/>
      <c r="R205" s="43"/>
      <c r="S205" s="43"/>
    </row>
    <row r="206" spans="2:19" ht="15.75" hidden="1" outlineLevel="1" x14ac:dyDescent="0.3">
      <c r="B206" s="17"/>
      <c r="C206" s="17"/>
      <c r="D206" s="17" t="s">
        <v>57</v>
      </c>
      <c r="E206" s="17"/>
      <c r="F206" s="38">
        <f>IF(NOT(ISBLANK('Referenz Pflasterwerk'!$I$53)),'Referenz Pflasterwerk'!$I$53,'Referenz Pflasterwerk'!$F$53)*IF(NOT(ISBLANK('Referenz Pflasterwerk'!$I57)),'Referenz Pflasterwerk'!$I57,'Referenz Pflasterwerk'!$F57)*IF(NOT(ISBLANK('Eingabe EF'!$AA42)),'Eingabe EF'!$AA42,'Eingabe EF'!$Y42)*IF(NOT(ISBLANK('Referenz Pflasterwerk'!$I$12)),'Referenz Pflasterwerk'!$I$12,'Referenz Pflasterwerk'!$F$12)</f>
        <v>0</v>
      </c>
      <c r="G206" s="38">
        <f>IF(NOT(ISBLANK('Referenz Pflasterwerk'!$I$53)),'Referenz Pflasterwerk'!$I$53,'Referenz Pflasterwerk'!$F$53)*IF(NOT(ISBLANK('Referenz Pflasterwerk'!$I57)),'Referenz Pflasterwerk'!$I57,'Referenz Pflasterwerk'!$F57)*IF(NOT(ISBLANK('Eingabe EF'!$AE42)),'Eingabe EF'!$AE42,'Eingabe EF'!$AC42)*IF(NOT(ISBLANK('Referenz Pflasterwerk'!$I$12)),'Referenz Pflasterwerk'!$I$12,'Referenz Pflasterwerk'!$F$12)</f>
        <v>0</v>
      </c>
      <c r="H206" s="38">
        <f>IF(NOT(ISBLANK('Referenz Pflasterwerk'!$I$53)),'Referenz Pflasterwerk'!$I$53,'Referenz Pflasterwerk'!$F$53)*IF(NOT(ISBLANK('Referenz Pflasterwerk'!$I57)),'Referenz Pflasterwerk'!$I57,'Referenz Pflasterwerk'!$F57)*IF(NOT(ISBLANK('Eingabe EF'!$AI42)),'Eingabe EF'!$AI42,'Eingabe EF'!$AG42)*IF(NOT(ISBLANK('Referenz Pflasterwerk'!$I$12)),'Referenz Pflasterwerk'!$I$12,'Referenz Pflasterwerk'!$F$12)</f>
        <v>118.31946250541829</v>
      </c>
      <c r="I206" s="17"/>
      <c r="J206" s="38">
        <f t="shared" si="31"/>
        <v>0</v>
      </c>
      <c r="K206" s="38">
        <f t="shared" si="33"/>
        <v>118.31946250541829</v>
      </c>
      <c r="L206" s="17" t="s">
        <v>199</v>
      </c>
      <c r="M206" s="43"/>
      <c r="N206" s="43"/>
      <c r="O206" s="43"/>
      <c r="P206" s="43"/>
      <c r="Q206" s="43"/>
      <c r="R206" s="43"/>
      <c r="S206" s="43"/>
    </row>
    <row r="207" spans="2:19" hidden="1" outlineLevel="1" x14ac:dyDescent="0.2">
      <c r="B207" s="17"/>
      <c r="C207" s="17"/>
      <c r="D207" s="17"/>
      <c r="E207" s="17"/>
      <c r="F207" s="20"/>
      <c r="G207" s="20"/>
      <c r="H207" s="20"/>
      <c r="I207" s="17"/>
      <c r="J207" s="20"/>
      <c r="K207" s="20"/>
      <c r="L207" s="17"/>
      <c r="M207" s="43"/>
      <c r="N207" s="43"/>
      <c r="O207" s="43"/>
      <c r="P207" s="43"/>
      <c r="Q207" s="43"/>
      <c r="R207" s="43"/>
      <c r="S207" s="43"/>
    </row>
    <row r="208" spans="2:19" ht="14.25" hidden="1" outlineLevel="1" x14ac:dyDescent="0.25">
      <c r="B208" s="69"/>
      <c r="C208" s="69" t="s">
        <v>272</v>
      </c>
      <c r="D208" s="70"/>
      <c r="E208" s="70"/>
      <c r="F208" s="71">
        <f>SUM(F209:F210)</f>
        <v>0</v>
      </c>
      <c r="G208" s="71">
        <f t="shared" ref="G208" si="34">SUM(G209:G210)</f>
        <v>0</v>
      </c>
      <c r="H208" s="71">
        <f>SUM(H209:H210)</f>
        <v>0</v>
      </c>
      <c r="I208" s="70"/>
      <c r="J208" s="71">
        <f>F208+G208</f>
        <v>0</v>
      </c>
      <c r="K208" s="71">
        <f t="shared" ref="K208" si="35">SUM(F208:H208)</f>
        <v>0</v>
      </c>
      <c r="L208" s="76" t="s">
        <v>198</v>
      </c>
      <c r="M208" s="43"/>
      <c r="N208" s="43"/>
      <c r="O208" s="43"/>
      <c r="P208" s="43"/>
      <c r="Q208" s="43"/>
      <c r="R208" s="43"/>
      <c r="S208" s="43"/>
    </row>
    <row r="209" spans="2:19" ht="15.75" hidden="1" outlineLevel="1" x14ac:dyDescent="0.3">
      <c r="B209" s="302"/>
      <c r="C209" s="17"/>
      <c r="D209" s="17" t="s">
        <v>268</v>
      </c>
      <c r="E209" s="17"/>
      <c r="F209" s="38">
        <v>0</v>
      </c>
      <c r="G209" s="38">
        <v>0</v>
      </c>
      <c r="H209" s="38">
        <f>IF(NOT(ISBLANK(G23)),G23,E23)*IF(NOT(ISBLANK(G26)),G26,0)</f>
        <v>0</v>
      </c>
      <c r="I209" s="17"/>
      <c r="J209" s="38">
        <f t="shared" ref="J209:J210" si="36">F209+G209</f>
        <v>0</v>
      </c>
      <c r="K209" s="38">
        <f t="shared" ref="K209:K210" si="37">SUM(F209:H209)</f>
        <v>0</v>
      </c>
      <c r="L209" s="17" t="s">
        <v>199</v>
      </c>
      <c r="M209" s="43"/>
      <c r="N209" s="43"/>
      <c r="O209" s="43"/>
      <c r="P209" s="43"/>
      <c r="Q209" s="43"/>
      <c r="R209" s="43"/>
      <c r="S209" s="43"/>
    </row>
    <row r="210" spans="2:19" ht="15.75" hidden="1" outlineLevel="1" x14ac:dyDescent="0.3">
      <c r="B210" s="302"/>
      <c r="C210" s="17"/>
      <c r="D210" s="17" t="s">
        <v>269</v>
      </c>
      <c r="E210" s="17"/>
      <c r="F210" s="38">
        <v>0</v>
      </c>
      <c r="G210" s="38">
        <v>0</v>
      </c>
      <c r="H210" s="38">
        <f>IF(NOT(ISBLANK(G24)),G24,E24)*IF(NOT(ISBLANK(G27)),G27,0)</f>
        <v>0</v>
      </c>
      <c r="I210" s="17"/>
      <c r="J210" s="38">
        <f t="shared" si="36"/>
        <v>0</v>
      </c>
      <c r="K210" s="38">
        <f t="shared" si="37"/>
        <v>0</v>
      </c>
      <c r="L210" s="17" t="s">
        <v>199</v>
      </c>
      <c r="M210" s="43"/>
      <c r="N210" s="43"/>
      <c r="O210" s="43"/>
      <c r="P210" s="43"/>
      <c r="Q210" s="43"/>
      <c r="R210" s="43"/>
      <c r="S210" s="43"/>
    </row>
    <row r="211" spans="2:19" hidden="1" outlineLevel="1" x14ac:dyDescent="0.2">
      <c r="B211" s="17"/>
      <c r="C211" s="17"/>
      <c r="D211" s="17"/>
      <c r="E211" s="17"/>
      <c r="F211" s="20"/>
      <c r="G211" s="20"/>
      <c r="H211" s="20"/>
      <c r="I211" s="17"/>
      <c r="J211" s="20"/>
      <c r="K211" s="20"/>
      <c r="L211" s="17"/>
      <c r="M211" s="43"/>
      <c r="N211" s="43"/>
      <c r="O211" s="43"/>
      <c r="P211" s="43"/>
      <c r="Q211" s="43"/>
      <c r="R211" s="43"/>
      <c r="S211" s="43"/>
    </row>
    <row r="212" spans="2:19" ht="14.25" hidden="1" outlineLevel="1" x14ac:dyDescent="0.25">
      <c r="B212" s="17"/>
      <c r="C212" s="17"/>
      <c r="D212" s="21" t="s">
        <v>113</v>
      </c>
      <c r="E212" s="21"/>
      <c r="F212" s="74">
        <f>IF(NOT(ISBLANK('Referenz Pflasterwerk'!$I59)),'Referenz Pflasterwerk'!$I59,'Referenz Pflasterwerk'!$F59)*IF(NOT(ISBLANK('Eingabe EF'!$AA44)),'Eingabe EF'!$AA44,0)*IF(NOT(ISBLANK('Referenz Pflasterwerk'!$I$12)),'Referenz Pflasterwerk'!$I$12,'Referenz Pflasterwerk'!$F$12)</f>
        <v>0</v>
      </c>
      <c r="G212" s="74">
        <f>IF(NOT(ISBLANK('Referenz Pflasterwerk'!$I59)),'Referenz Pflasterwerk'!$I59,'Referenz Pflasterwerk'!$F59)*IF(NOT(ISBLANK('Eingabe EF'!$AE44)),'Eingabe EF'!$AE44,0)*IF(NOT(ISBLANK('Referenz Pflasterwerk'!$I$12)),'Referenz Pflasterwerk'!$I$12,'Referenz Pflasterwerk'!$F$12)</f>
        <v>0</v>
      </c>
      <c r="H212" s="74">
        <f>IF(NOT(ISBLANK('Referenz Pflasterwerk'!$I59)),'Referenz Pflasterwerk'!$I59,'Referenz Pflasterwerk'!$F59)*IF(NOT(ISBLANK('Eingabe EF'!$AI44)),'Eingabe EF'!$AI44,0)*IF(NOT(ISBLANK('Referenz Pflasterwerk'!$I$12)),'Referenz Pflasterwerk'!$I$12,'Referenz Pflasterwerk'!$F$12)</f>
        <v>0</v>
      </c>
      <c r="I212" s="21"/>
      <c r="J212" s="74">
        <f>F212+G212</f>
        <v>0</v>
      </c>
      <c r="K212" s="74">
        <f>SUM(F212:H212)</f>
        <v>0</v>
      </c>
      <c r="L212" s="21" t="s">
        <v>198</v>
      </c>
      <c r="M212" s="43"/>
      <c r="N212" s="43"/>
      <c r="O212" s="43"/>
      <c r="P212" s="43"/>
      <c r="Q212" s="43"/>
      <c r="R212" s="43"/>
      <c r="S212" s="43"/>
    </row>
    <row r="213" spans="2:19" ht="14.25" hidden="1" outlineLevel="1" x14ac:dyDescent="0.25">
      <c r="B213" s="17"/>
      <c r="C213" s="17"/>
      <c r="D213" s="21" t="s">
        <v>65</v>
      </c>
      <c r="E213" s="21"/>
      <c r="F213" s="74">
        <f>IF(NOT(ISBLANK('Referenz Pflasterwerk'!$I60)),'Referenz Pflasterwerk'!$I60,'Referenz Pflasterwerk'!$F60)*IF(NOT(ISBLANK('Eingabe EF'!$AA45)),'Eingabe EF'!$AA45,'Eingabe EF'!$Y45)</f>
        <v>0</v>
      </c>
      <c r="G213" s="74">
        <f>IF(NOT(ISBLANK('Referenz Pflasterwerk'!$I60)),'Referenz Pflasterwerk'!$I60,'Referenz Pflasterwerk'!$F60)*IF(NOT(ISBLANK('Eingabe EF'!$AE45)),'Eingabe EF'!$AE45,'Eingabe EF'!$AC45)</f>
        <v>0</v>
      </c>
      <c r="H213" s="74">
        <f>IF(NOT(ISBLANK('Referenz Pflasterwerk'!$I60)),'Referenz Pflasterwerk'!$I60,'Referenz Pflasterwerk'!$F60)*IF(NOT(ISBLANK('Eingabe EF'!$AI45)),'Eingabe EF'!$AI45,'Eingabe EF'!$AG45)</f>
        <v>5.4399999999999997E-2</v>
      </c>
      <c r="I213" s="21"/>
      <c r="J213" s="74">
        <f>F213+G213</f>
        <v>0</v>
      </c>
      <c r="K213" s="74">
        <f>SUM(F213:H213)</f>
        <v>5.4399999999999997E-2</v>
      </c>
      <c r="L213" s="21" t="s">
        <v>198</v>
      </c>
      <c r="M213" s="43"/>
      <c r="N213" s="43"/>
      <c r="O213" s="43"/>
      <c r="P213" s="43"/>
      <c r="Q213" s="43"/>
      <c r="R213" s="43"/>
      <c r="S213" s="43"/>
    </row>
    <row r="214" spans="2:19" hidden="1" outlineLevel="1" x14ac:dyDescent="0.2">
      <c r="B214" s="17"/>
      <c r="C214" s="17"/>
      <c r="D214" s="17"/>
      <c r="E214" s="17"/>
      <c r="F214" s="20"/>
      <c r="G214" s="20"/>
      <c r="H214" s="20"/>
      <c r="I214" s="17"/>
      <c r="J214" s="20"/>
      <c r="K214" s="20"/>
      <c r="L214" s="17"/>
      <c r="M214" s="43"/>
      <c r="N214" s="43"/>
      <c r="O214" s="43"/>
      <c r="P214" s="43"/>
      <c r="Q214" s="43"/>
      <c r="R214" s="43"/>
      <c r="S214" s="43"/>
    </row>
    <row r="215" spans="2:19" ht="14.25" hidden="1" outlineLevel="1" x14ac:dyDescent="0.25">
      <c r="B215" s="69"/>
      <c r="C215" s="69" t="s">
        <v>183</v>
      </c>
      <c r="D215" s="70"/>
      <c r="E215" s="70"/>
      <c r="F215" s="71">
        <f>SUM(F216:F218)</f>
        <v>0</v>
      </c>
      <c r="G215" s="71">
        <f>SUM(G216:G218)</f>
        <v>0</v>
      </c>
      <c r="H215" s="71">
        <f>SUM(H216:H218)</f>
        <v>0</v>
      </c>
      <c r="I215" s="70"/>
      <c r="J215" s="71">
        <f t="shared" ref="J215:J218" si="38">F215+G215</f>
        <v>0</v>
      </c>
      <c r="K215" s="71">
        <f t="shared" ref="K215" si="39">SUM(F215:H215)</f>
        <v>0</v>
      </c>
      <c r="L215" s="76" t="s">
        <v>198</v>
      </c>
      <c r="M215" s="43"/>
      <c r="N215" s="43"/>
      <c r="O215" s="43"/>
      <c r="P215" s="43"/>
      <c r="Q215" s="43"/>
      <c r="R215" s="43"/>
      <c r="S215" s="43"/>
    </row>
    <row r="216" spans="2:19" ht="15.75" hidden="1" outlineLevel="1" x14ac:dyDescent="0.3">
      <c r="B216" s="17"/>
      <c r="C216" s="17"/>
      <c r="D216" s="17" t="s">
        <v>184</v>
      </c>
      <c r="E216" s="17"/>
      <c r="F216" s="38">
        <f>IF(NOT(ISBLANK('Referenz Pflasterwerk'!$I63)),'Referenz Pflasterwerk'!$I63,'Referenz Pflasterwerk'!$F63)*IF(NOT(ISBLANK('Eingabe EF'!$AA48)),'Eingabe EF'!$AA48,0)*IF(NOT(ISBLANK('Referenz Pflasterwerk'!$I$12)),'Referenz Pflasterwerk'!$I$12,'Referenz Pflasterwerk'!$F$12)</f>
        <v>0</v>
      </c>
      <c r="G216" s="38">
        <f>IF(NOT(ISBLANK('Referenz Pflasterwerk'!$I63)),'Referenz Pflasterwerk'!$I63,'Referenz Pflasterwerk'!$F63)*IF(NOT(ISBLANK('Eingabe EF'!$AE48)),'Eingabe EF'!$AE48,0)*IF(NOT(ISBLANK('Referenz Pflasterwerk'!$I$12)),'Referenz Pflasterwerk'!$I$12,'Referenz Pflasterwerk'!$F$12)</f>
        <v>0</v>
      </c>
      <c r="H216" s="38">
        <f>IF(NOT(ISBLANK('Referenz Pflasterwerk'!$I63)),'Referenz Pflasterwerk'!$I63,'Referenz Pflasterwerk'!$F63)*IF(NOT(ISBLANK('Eingabe EF'!$AI48)),'Eingabe EF'!$AI48,0)*IF(NOT(ISBLANK('Referenz Pflasterwerk'!$I$12)),'Referenz Pflasterwerk'!$I$12,'Referenz Pflasterwerk'!$F$12)</f>
        <v>0</v>
      </c>
      <c r="I216" s="17"/>
      <c r="J216" s="38">
        <f t="shared" si="38"/>
        <v>0</v>
      </c>
      <c r="K216" s="38">
        <f t="shared" ref="K216:K218" si="40">SUM(F216:H216)</f>
        <v>0</v>
      </c>
      <c r="L216" s="17" t="s">
        <v>199</v>
      </c>
      <c r="M216" s="43"/>
      <c r="N216" s="43"/>
      <c r="O216" s="43"/>
      <c r="P216" s="43"/>
      <c r="Q216" s="43"/>
      <c r="R216" s="43"/>
      <c r="S216" s="43"/>
    </row>
    <row r="217" spans="2:19" ht="15.75" hidden="1" outlineLevel="1" x14ac:dyDescent="0.3">
      <c r="B217" s="17"/>
      <c r="C217" s="17"/>
      <c r="D217" s="17" t="s">
        <v>63</v>
      </c>
      <c r="E217" s="17"/>
      <c r="F217" s="38">
        <f>IF(NOT(ISBLANK('Referenz Pflasterwerk'!$I64)),'Referenz Pflasterwerk'!$I64,'Referenz Pflasterwerk'!$F64)*IF(NOT(ISBLANK('Eingabe EF'!$AA49)),'Eingabe EF'!$AA49,'Eingabe EF'!$Y49)*IF(NOT(ISBLANK('Referenz Pflasterwerk'!$I$12)),'Referenz Pflasterwerk'!$I$12,'Referenz Pflasterwerk'!$F$12)</f>
        <v>0</v>
      </c>
      <c r="G217" s="38">
        <f>IF(NOT(ISBLANK('Referenz Pflasterwerk'!$I64)),'Referenz Pflasterwerk'!$I64,'Referenz Pflasterwerk'!$F64)*IF(NOT(ISBLANK('Eingabe EF'!$AE49)),'Eingabe EF'!$AE49,'Eingabe EF'!$AC49)*IF(NOT(ISBLANK('Referenz Pflasterwerk'!$I$12)),'Referenz Pflasterwerk'!$I$12,'Referenz Pflasterwerk'!$F$12)</f>
        <v>0</v>
      </c>
      <c r="H217" s="38">
        <f>IF(NOT(ISBLANK('Referenz Pflasterwerk'!$I64)),'Referenz Pflasterwerk'!$I64,'Referenz Pflasterwerk'!$F64)*IF(NOT(ISBLANK('Eingabe EF'!$AI49)),'Eingabe EF'!$AI49,'Eingabe EF'!$AG49)*IF(NOT(ISBLANK('Referenz Pflasterwerk'!$I$12)),'Referenz Pflasterwerk'!$I$12,'Referenz Pflasterwerk'!$F$12)</f>
        <v>0</v>
      </c>
      <c r="I217" s="17"/>
      <c r="J217" s="38">
        <f t="shared" si="38"/>
        <v>0</v>
      </c>
      <c r="K217" s="38">
        <f t="shared" si="40"/>
        <v>0</v>
      </c>
      <c r="L217" s="17" t="s">
        <v>199</v>
      </c>
      <c r="M217" s="43"/>
      <c r="N217" s="43"/>
      <c r="O217" s="43"/>
      <c r="P217" s="43"/>
      <c r="Q217" s="43"/>
      <c r="R217" s="43"/>
      <c r="S217" s="43"/>
    </row>
    <row r="218" spans="2:19" ht="15.75" hidden="1" outlineLevel="1" x14ac:dyDescent="0.3">
      <c r="B218" s="17"/>
      <c r="C218" s="17"/>
      <c r="D218" s="17" t="s">
        <v>185</v>
      </c>
      <c r="E218" s="17"/>
      <c r="F218" s="38">
        <f>IF(NOT(ISBLANK('Referenz Pflasterwerk'!$I65)),'Referenz Pflasterwerk'!$I65,'Referenz Pflasterwerk'!$F65)*IF(NOT(ISBLANK('Eingabe EF'!$AA50)),'Eingabe EF'!$AA50,0)*IF(NOT(ISBLANK('Referenz Pflasterwerk'!$I$12)),'Referenz Pflasterwerk'!$I$12,'Referenz Pflasterwerk'!$F$12)</f>
        <v>0</v>
      </c>
      <c r="G218" s="38">
        <f>IF(NOT(ISBLANK('Referenz Pflasterwerk'!$I65)),'Referenz Pflasterwerk'!$I65,'Referenz Pflasterwerk'!$F65)*IF(NOT(ISBLANK('Eingabe EF'!$AE50)),'Eingabe EF'!$AE50,0)*IF(NOT(ISBLANK('Referenz Pflasterwerk'!$I$12)),'Referenz Pflasterwerk'!$I$12,'Referenz Pflasterwerk'!$F$12)</f>
        <v>0</v>
      </c>
      <c r="H218" s="38">
        <f>IF(NOT(ISBLANK('Referenz Pflasterwerk'!$I65)),'Referenz Pflasterwerk'!$I65,'Referenz Pflasterwerk'!$F65)*IF(NOT(ISBLANK('Eingabe EF'!$AI50)),'Eingabe EF'!$AI50,0)*IF(NOT(ISBLANK('Referenz Pflasterwerk'!$I$12)),'Referenz Pflasterwerk'!$I$12,'Referenz Pflasterwerk'!$F$12)</f>
        <v>0</v>
      </c>
      <c r="I218" s="17"/>
      <c r="J218" s="38">
        <f t="shared" si="38"/>
        <v>0</v>
      </c>
      <c r="K218" s="38">
        <f t="shared" si="40"/>
        <v>0</v>
      </c>
      <c r="L218" s="17" t="s">
        <v>199</v>
      </c>
      <c r="M218" s="43"/>
      <c r="N218" s="43"/>
      <c r="O218" s="43"/>
      <c r="P218" s="43"/>
      <c r="Q218" s="43"/>
      <c r="R218" s="43"/>
      <c r="S218" s="43"/>
    </row>
    <row r="219" spans="2:19" hidden="1" outlineLevel="1" x14ac:dyDescent="0.2">
      <c r="B219" s="17"/>
      <c r="C219" s="17"/>
      <c r="D219" s="17"/>
      <c r="E219" s="17"/>
      <c r="F219" s="20"/>
      <c r="G219" s="20"/>
      <c r="H219" s="20"/>
      <c r="I219" s="17"/>
      <c r="J219" s="17"/>
      <c r="K219" s="17"/>
      <c r="L219" s="20"/>
      <c r="M219" s="43"/>
      <c r="N219" s="43"/>
      <c r="O219" s="43"/>
      <c r="P219" s="43"/>
      <c r="Q219" s="43"/>
      <c r="R219" s="43"/>
      <c r="S219" s="43"/>
    </row>
    <row r="220" spans="2:19" ht="14.25" hidden="1" outlineLevel="1" x14ac:dyDescent="0.25">
      <c r="B220" s="69"/>
      <c r="C220" s="69" t="s">
        <v>186</v>
      </c>
      <c r="D220" s="70"/>
      <c r="E220" s="70"/>
      <c r="F220" s="71">
        <f>SUM(F221:F223)</f>
        <v>0</v>
      </c>
      <c r="G220" s="71">
        <f>SUM(G221:G223)</f>
        <v>0</v>
      </c>
      <c r="H220" s="71">
        <f>SUM(H221:H223)</f>
        <v>0</v>
      </c>
      <c r="I220" s="70"/>
      <c r="J220" s="71">
        <f>F220+G220</f>
        <v>0</v>
      </c>
      <c r="K220" s="71">
        <f t="shared" ref="K220" si="41">SUM(F220:H220)</f>
        <v>0</v>
      </c>
      <c r="L220" s="76" t="s">
        <v>198</v>
      </c>
      <c r="M220" s="43"/>
      <c r="N220" s="43"/>
      <c r="O220" s="43"/>
      <c r="P220" s="43"/>
      <c r="Q220" s="43"/>
      <c r="R220" s="43"/>
      <c r="S220" s="43"/>
    </row>
    <row r="221" spans="2:19" ht="15.75" hidden="1" outlineLevel="1" x14ac:dyDescent="0.3">
      <c r="B221" s="17"/>
      <c r="C221" s="17"/>
      <c r="D221" s="17" t="s">
        <v>67</v>
      </c>
      <c r="E221" s="17"/>
      <c r="F221" s="38">
        <f>IF(NOT(ISBLANK('Referenz Pflasterwerk'!$I68)),'Referenz Pflasterwerk'!$I68,'Referenz Pflasterwerk'!$F68)*IF(NOT(ISBLANK('Eingabe EF'!$AA53)),'Eingabe EF'!$AA53,'Eingabe EF'!$Y53)</f>
        <v>0</v>
      </c>
      <c r="G221" s="38">
        <f>IF(NOT(ISBLANK('Referenz Pflasterwerk'!$I68)),'Referenz Pflasterwerk'!$I68,'Referenz Pflasterwerk'!$F68)*IF(NOT(ISBLANK('Eingabe EF'!$AE53)),'Eingabe EF'!$AE53,'Eingabe EF'!$AC53)</f>
        <v>0</v>
      </c>
      <c r="H221" s="38">
        <f>IF(NOT(ISBLANK('Referenz Pflasterwerk'!$I68)),'Referenz Pflasterwerk'!$I68,'Referenz Pflasterwerk'!$F68)*IF(NOT(ISBLANK('Eingabe EF'!$AI53)),'Eingabe EF'!$AI53,'Eingabe EF'!$AG53)</f>
        <v>0</v>
      </c>
      <c r="I221" s="17"/>
      <c r="J221" s="38">
        <f>F221+G221</f>
        <v>0</v>
      </c>
      <c r="K221" s="38">
        <f>SUM(F221:H221)</f>
        <v>0</v>
      </c>
      <c r="L221" s="17" t="s">
        <v>199</v>
      </c>
      <c r="M221" s="43"/>
      <c r="N221" s="43"/>
      <c r="O221" s="43"/>
      <c r="P221" s="43"/>
      <c r="Q221" s="43"/>
      <c r="R221" s="43"/>
      <c r="S221" s="43"/>
    </row>
    <row r="222" spans="2:19" ht="15.75" hidden="1" outlineLevel="1" x14ac:dyDescent="0.3">
      <c r="B222" s="17"/>
      <c r="C222" s="17"/>
      <c r="D222" s="17" t="s">
        <v>188</v>
      </c>
      <c r="E222" s="17"/>
      <c r="F222" s="38">
        <f>IF(NOT(ISBLANK('Referenz Pflasterwerk'!$I69)),'Referenz Pflasterwerk'!$I69,'Referenz Pflasterwerk'!$F69)*IF(NOT(ISBLANK('Eingabe EF'!$AA54)),'Eingabe EF'!$AA54,0)</f>
        <v>0</v>
      </c>
      <c r="G222" s="38">
        <f>IF(NOT(ISBLANK('Referenz Pflasterwerk'!$I69)),'Referenz Pflasterwerk'!$I69,'Referenz Pflasterwerk'!$F69)*IF(NOT(ISBLANK('Eingabe EF'!$AE54)),'Eingabe EF'!$AE54,0)</f>
        <v>0</v>
      </c>
      <c r="H222" s="38">
        <f>IF(NOT(ISBLANK('Referenz Pflasterwerk'!$I69)),'Referenz Pflasterwerk'!$I69,'Referenz Pflasterwerk'!$F69)*IF(NOT(ISBLANK('Eingabe EF'!$AI54)),'Eingabe EF'!$AI54,0)</f>
        <v>0</v>
      </c>
      <c r="I222" s="17"/>
      <c r="J222" s="38">
        <f t="shared" ref="J222:J223" si="42">F222+G222</f>
        <v>0</v>
      </c>
      <c r="K222" s="38">
        <f t="shared" ref="K222:K223" si="43">SUM(F222:H222)</f>
        <v>0</v>
      </c>
      <c r="L222" s="17" t="s">
        <v>199</v>
      </c>
      <c r="M222" s="43"/>
      <c r="N222" s="43"/>
      <c r="O222" s="43"/>
      <c r="P222" s="43"/>
      <c r="Q222" s="43"/>
      <c r="R222" s="43"/>
      <c r="S222" s="43"/>
    </row>
    <row r="223" spans="2:19" ht="15.75" hidden="1" outlineLevel="1" x14ac:dyDescent="0.3">
      <c r="B223" s="17"/>
      <c r="C223" s="17"/>
      <c r="D223" s="17" t="s">
        <v>187</v>
      </c>
      <c r="E223" s="17"/>
      <c r="F223" s="38">
        <f>IF(NOT(ISBLANK('Referenz Pflasterwerk'!$I70)),'Referenz Pflasterwerk'!$I70,'Referenz Pflasterwerk'!$F70)*IF(NOT(ISBLANK('Eingabe EF'!$AA55)),'Eingabe EF'!$AA55,0)</f>
        <v>0</v>
      </c>
      <c r="G223" s="38">
        <f>IF(NOT(ISBLANK('Referenz Pflasterwerk'!$I70)),'Referenz Pflasterwerk'!$I70,'Referenz Pflasterwerk'!$F70)*IF(NOT(ISBLANK('Eingabe EF'!$AE55)),'Eingabe EF'!$AE55,0)</f>
        <v>0</v>
      </c>
      <c r="H223" s="38">
        <f>IF(NOT(ISBLANK('Referenz Pflasterwerk'!$I70)),'Referenz Pflasterwerk'!$I70,'Referenz Pflasterwerk'!$F70)*IF(NOT(ISBLANK('Eingabe EF'!$AI55)),'Eingabe EF'!$AI55,0)</f>
        <v>0</v>
      </c>
      <c r="I223" s="17"/>
      <c r="J223" s="38">
        <f t="shared" si="42"/>
        <v>0</v>
      </c>
      <c r="K223" s="38">
        <f t="shared" si="43"/>
        <v>0</v>
      </c>
      <c r="L223" s="17" t="s">
        <v>199</v>
      </c>
      <c r="M223" s="43"/>
      <c r="N223" s="43"/>
      <c r="O223" s="43"/>
      <c r="P223" s="43"/>
      <c r="Q223" s="43"/>
      <c r="R223" s="43"/>
      <c r="S223" s="43"/>
    </row>
    <row r="224" spans="2:19" hidden="1" outlineLevel="1" x14ac:dyDescent="0.2">
      <c r="B224" s="17"/>
      <c r="C224" s="17"/>
      <c r="D224" s="17"/>
      <c r="E224" s="17"/>
      <c r="F224" s="20"/>
      <c r="G224" s="20"/>
      <c r="H224" s="20"/>
      <c r="I224" s="17"/>
      <c r="J224" s="17"/>
      <c r="K224" s="17"/>
      <c r="L224" s="20"/>
      <c r="M224" s="43"/>
      <c r="N224" s="43"/>
      <c r="O224" s="43"/>
      <c r="P224" s="43"/>
      <c r="Q224" s="43"/>
      <c r="R224" s="43"/>
      <c r="S224" s="43"/>
    </row>
    <row r="225" spans="2:20" ht="14.25" hidden="1" outlineLevel="1" x14ac:dyDescent="0.25">
      <c r="B225" s="17"/>
      <c r="C225" s="17"/>
      <c r="D225" s="21" t="s">
        <v>64</v>
      </c>
      <c r="E225" s="21"/>
      <c r="F225" s="74">
        <f>IF(NOT(ISBLANK('Referenz Pflasterwerk'!$I72)),'Referenz Pflasterwerk'!$I72,'Referenz Pflasterwerk'!$F72)*IF(NOT(ISBLANK('Eingabe EF'!$AA57)),'Eingabe EF'!$AA57,'Eingabe EF'!$Y57)</f>
        <v>0</v>
      </c>
      <c r="G225" s="74">
        <f>IF(NOT(ISBLANK('Referenz Pflasterwerk'!$I72)),'Referenz Pflasterwerk'!$I72,'Referenz Pflasterwerk'!$F72)*IF(NOT(ISBLANK('Eingabe EF'!$AE57)),'Eingabe EF'!$AE57,'Eingabe EF'!$AC57)</f>
        <v>0</v>
      </c>
      <c r="H225" s="74">
        <f>IF(NOT(ISBLANK('Referenz Pflasterwerk'!$I72)),'Referenz Pflasterwerk'!$I72,'Referenz Pflasterwerk'!$F72)*IF(NOT(ISBLANK('Eingabe EF'!$AI57)),'Eingabe EF'!$AI57,'Eingabe EF'!$AG57)</f>
        <v>161.20000000000002</v>
      </c>
      <c r="I225" s="21"/>
      <c r="J225" s="74">
        <f t="shared" ref="J225" si="44">F225+G225</f>
        <v>0</v>
      </c>
      <c r="K225" s="74">
        <f t="shared" ref="K225" si="45">SUM(F225:H225)</f>
        <v>161.20000000000002</v>
      </c>
      <c r="L225" s="21" t="s">
        <v>198</v>
      </c>
      <c r="M225" s="43"/>
      <c r="N225" s="43"/>
      <c r="O225" s="43"/>
      <c r="P225" s="43"/>
      <c r="Q225" s="43"/>
      <c r="R225" s="43"/>
      <c r="S225" s="43"/>
    </row>
    <row r="226" spans="2:20" hidden="1" outlineLevel="1" x14ac:dyDescent="0.2">
      <c r="B226" s="17"/>
      <c r="C226" s="17"/>
      <c r="D226" s="17"/>
      <c r="E226" s="17"/>
      <c r="F226" s="20"/>
      <c r="G226" s="20"/>
      <c r="H226" s="20"/>
      <c r="I226" s="17"/>
      <c r="J226" s="17"/>
      <c r="K226" s="17"/>
      <c r="L226" s="20"/>
      <c r="M226" s="43"/>
      <c r="N226" s="43"/>
      <c r="O226" s="43"/>
      <c r="P226" s="43"/>
      <c r="Q226" s="43"/>
      <c r="R226" s="43"/>
      <c r="S226" s="43"/>
    </row>
    <row r="227" spans="2:20" ht="15" hidden="1" outlineLevel="1" thickBot="1" x14ac:dyDescent="0.3">
      <c r="B227" s="17"/>
      <c r="C227" s="17"/>
      <c r="D227" s="67" t="s">
        <v>70</v>
      </c>
      <c r="E227" s="67"/>
      <c r="F227" s="68">
        <f>SUM(F166:F225)-F180-F184-F190-F197-F202-F215-F220-F208</f>
        <v>106.60088015999999</v>
      </c>
      <c r="G227" s="68">
        <f t="shared" ref="G227" si="46">SUM(G166:G225)-G180-G184-G190-G197-G202-G215-G220-G208</f>
        <v>208.15407848118898</v>
      </c>
      <c r="H227" s="68">
        <f>SUM(H166:H225)-H180-H184-H190-H197-H202-H215-H220-H208</f>
        <v>10124.975694465084</v>
      </c>
      <c r="I227" s="21"/>
      <c r="J227" s="68">
        <f>SUM(J166:J225)-J180-J184-J190-J197-J202-J215-J220-J208</f>
        <v>314.75495864118898</v>
      </c>
      <c r="K227" s="68">
        <f>SUM(K166:K225)-K180-K184-K190-K197-K202-K215-K220-K208</f>
        <v>10439.730653106275</v>
      </c>
      <c r="L227" s="68" t="s">
        <v>198</v>
      </c>
      <c r="M227" s="43"/>
      <c r="N227" s="43"/>
      <c r="O227" s="43"/>
      <c r="P227" s="43"/>
      <c r="Q227" s="43"/>
      <c r="R227" s="43"/>
      <c r="S227" s="43"/>
    </row>
    <row r="228" spans="2:20" ht="13.5" hidden="1" outlineLevel="1" thickTop="1" x14ac:dyDescent="0.2">
      <c r="B228" s="17"/>
      <c r="C228" s="17"/>
      <c r="D228" s="17"/>
      <c r="E228" s="17"/>
      <c r="F228" s="20"/>
      <c r="G228" s="20"/>
      <c r="H228" s="20"/>
      <c r="I228" s="17"/>
      <c r="J228" s="17"/>
      <c r="K228" s="17"/>
      <c r="L228" s="20"/>
      <c r="M228" s="43"/>
      <c r="N228" s="43"/>
      <c r="O228" s="43"/>
      <c r="P228" s="43"/>
      <c r="Q228" s="43"/>
      <c r="R228" s="43"/>
      <c r="S228" s="43"/>
    </row>
    <row r="229" spans="2:20" collapsed="1" x14ac:dyDescent="0.2"/>
    <row r="231" spans="2:20" ht="15.75" hidden="1" outlineLevel="1" x14ac:dyDescent="0.25">
      <c r="B231" s="22"/>
      <c r="C231" s="22" t="s">
        <v>117</v>
      </c>
      <c r="D231" s="17"/>
      <c r="E231" s="17"/>
      <c r="F231" s="17"/>
      <c r="G231" s="17"/>
      <c r="H231" s="17"/>
      <c r="I231" s="17"/>
      <c r="J231" s="17"/>
      <c r="K231" s="17"/>
      <c r="L231" s="17"/>
      <c r="N231" s="22" t="s">
        <v>120</v>
      </c>
      <c r="O231" s="17"/>
      <c r="P231" s="17"/>
      <c r="Q231" s="17"/>
      <c r="R231" s="17"/>
      <c r="S231" s="17"/>
      <c r="T231" s="17"/>
    </row>
    <row r="232" spans="2:20" ht="15" hidden="1" outlineLevel="1" x14ac:dyDescent="0.25">
      <c r="B232" s="64"/>
      <c r="C232" s="64">
        <v>2030</v>
      </c>
      <c r="D232" s="17" t="s">
        <v>207</v>
      </c>
      <c r="E232" s="25"/>
      <c r="F232" s="25"/>
      <c r="G232" s="25"/>
      <c r="H232" s="25"/>
      <c r="I232" s="25"/>
      <c r="J232" s="25"/>
      <c r="K232" s="25"/>
      <c r="L232" s="25"/>
      <c r="N232" s="64">
        <v>2030</v>
      </c>
      <c r="O232" s="17"/>
      <c r="P232" s="17"/>
      <c r="Q232" s="17"/>
      <c r="R232" s="17"/>
      <c r="S232" s="17"/>
      <c r="T232" s="17"/>
    </row>
    <row r="233" spans="2:20" hidden="1" outlineLevel="1" x14ac:dyDescent="0.2">
      <c r="B233" s="302"/>
      <c r="C233" s="17"/>
      <c r="D233" s="17" t="s">
        <v>261</v>
      </c>
      <c r="E233" s="315">
        <f>(1-(IF(NOT(ISBLANK($K17)),$K17/100,$I17/100)))</f>
        <v>0.9</v>
      </c>
      <c r="F233" s="17"/>
      <c r="G233" s="17"/>
      <c r="H233" s="17"/>
      <c r="I233" s="17"/>
      <c r="J233" s="17"/>
      <c r="K233" s="17"/>
      <c r="L233" s="17"/>
      <c r="N233" s="17"/>
      <c r="O233" s="17"/>
      <c r="P233" s="17"/>
      <c r="Q233" s="17"/>
      <c r="R233" s="17"/>
      <c r="S233" s="17"/>
      <c r="T233" s="17"/>
    </row>
    <row r="234" spans="2:20" hidden="1" outlineLevel="1" x14ac:dyDescent="0.2">
      <c r="B234" s="302"/>
      <c r="C234" s="17"/>
      <c r="D234" s="17" t="s">
        <v>262</v>
      </c>
      <c r="E234" s="315">
        <f>(1-(IF(NOT(ISBLANK($K18)),$K18/100,$I18/100)))</f>
        <v>0.9</v>
      </c>
      <c r="F234" s="17"/>
      <c r="G234" s="17"/>
      <c r="H234" s="17"/>
      <c r="I234" s="17"/>
      <c r="J234" s="17"/>
      <c r="K234" s="17"/>
      <c r="L234" s="17"/>
      <c r="N234" s="17"/>
      <c r="O234" s="17"/>
      <c r="P234" s="17"/>
      <c r="Q234" s="17"/>
      <c r="R234" s="17"/>
      <c r="S234" s="17"/>
      <c r="T234" s="17"/>
    </row>
    <row r="235" spans="2:20" hidden="1" outlineLevel="1" x14ac:dyDescent="0.2">
      <c r="B235" s="302"/>
      <c r="C235" s="17"/>
      <c r="D235" s="17" t="s">
        <v>51</v>
      </c>
      <c r="E235" s="315">
        <f>(1-(IF(NOT(ISBLANK($K19)),$K19/100,$I19/100)))</f>
        <v>0.9</v>
      </c>
      <c r="F235" s="17"/>
      <c r="G235" s="17"/>
      <c r="H235" s="17"/>
      <c r="I235" s="17"/>
      <c r="J235" s="17"/>
      <c r="K235" s="17"/>
      <c r="L235" s="17"/>
      <c r="N235" s="17"/>
      <c r="O235" s="17"/>
      <c r="P235" s="17"/>
      <c r="Q235" s="17"/>
      <c r="R235" s="17"/>
      <c r="S235" s="17"/>
      <c r="T235" s="17"/>
    </row>
    <row r="236" spans="2:20" hidden="1" outlineLevel="1" x14ac:dyDescent="0.2">
      <c r="B236" s="302"/>
      <c r="C236" s="17"/>
      <c r="D236" s="17" t="s">
        <v>163</v>
      </c>
      <c r="E236" s="315">
        <f>(1-(IF(NOT(ISBLANK($K20)),$K20/100,$I20/100)))</f>
        <v>0.9</v>
      </c>
      <c r="F236" s="17"/>
      <c r="G236" s="17"/>
      <c r="H236" s="17"/>
      <c r="I236" s="17"/>
      <c r="J236" s="17"/>
      <c r="K236" s="17"/>
      <c r="L236" s="17"/>
      <c r="N236" s="17"/>
      <c r="O236" s="17"/>
      <c r="P236" s="17"/>
      <c r="Q236" s="17"/>
      <c r="R236" s="17"/>
      <c r="S236" s="17"/>
      <c r="T236" s="17"/>
    </row>
    <row r="237" spans="2:20" hidden="1" outlineLevel="1" x14ac:dyDescent="0.2">
      <c r="B237" s="302"/>
      <c r="C237" s="17"/>
      <c r="D237" s="17"/>
      <c r="E237" s="17"/>
      <c r="F237" s="17"/>
      <c r="G237" s="17"/>
      <c r="H237" s="17"/>
      <c r="I237" s="17"/>
      <c r="J237" s="17"/>
      <c r="K237" s="17"/>
      <c r="L237" s="17"/>
      <c r="N237" s="17"/>
      <c r="O237" s="17"/>
      <c r="P237" s="17"/>
      <c r="Q237" s="17"/>
      <c r="R237" s="17"/>
      <c r="S237" s="17"/>
      <c r="T237" s="17"/>
    </row>
    <row r="238" spans="2:20" hidden="1" outlineLevel="1" x14ac:dyDescent="0.2">
      <c r="B238" s="302"/>
      <c r="C238" s="17"/>
      <c r="D238" s="17"/>
      <c r="E238" s="17"/>
      <c r="F238" s="17"/>
      <c r="G238" s="17"/>
      <c r="H238" s="17"/>
      <c r="I238" s="17"/>
      <c r="J238" s="17"/>
      <c r="K238" s="17"/>
      <c r="L238" s="17"/>
      <c r="N238" s="17"/>
      <c r="O238" s="17"/>
      <c r="P238" s="17"/>
      <c r="Q238" s="17"/>
      <c r="R238" s="17"/>
      <c r="S238" s="17"/>
      <c r="T238" s="17"/>
    </row>
    <row r="239" spans="2:20" hidden="1" outlineLevel="1" x14ac:dyDescent="0.2">
      <c r="B239" s="302"/>
      <c r="C239" s="17"/>
      <c r="D239" s="17"/>
      <c r="E239" s="17"/>
      <c r="F239" s="17"/>
      <c r="G239" s="17"/>
      <c r="H239" s="17"/>
      <c r="I239" s="17"/>
      <c r="J239" s="17"/>
      <c r="K239" s="17"/>
      <c r="L239" s="17"/>
      <c r="N239" s="17"/>
      <c r="O239" s="17"/>
      <c r="P239" s="17"/>
      <c r="Q239" s="17"/>
      <c r="R239" s="17"/>
      <c r="S239" s="17"/>
      <c r="T239" s="17"/>
    </row>
    <row r="240" spans="2:20" hidden="1" outlineLevel="1" x14ac:dyDescent="0.2">
      <c r="B240" s="17"/>
      <c r="C240" s="17"/>
      <c r="D240" s="17"/>
      <c r="E240" s="17"/>
      <c r="F240" s="17"/>
      <c r="G240" s="17"/>
      <c r="H240" s="17"/>
      <c r="I240" s="17"/>
      <c r="J240" s="17"/>
      <c r="K240" s="17"/>
      <c r="L240" s="17"/>
      <c r="N240" s="17"/>
      <c r="O240" s="17"/>
      <c r="P240" s="17"/>
      <c r="Q240" s="17"/>
      <c r="R240" s="17"/>
      <c r="S240" s="17"/>
      <c r="T240" s="17"/>
    </row>
    <row r="241" spans="2:20" ht="25.5" hidden="1" outlineLevel="1" x14ac:dyDescent="0.2">
      <c r="B241" s="17"/>
      <c r="C241" s="17"/>
      <c r="D241" s="17"/>
      <c r="E241" s="17"/>
      <c r="F241" s="36" t="s">
        <v>27</v>
      </c>
      <c r="G241" s="36" t="s">
        <v>85</v>
      </c>
      <c r="H241" s="36" t="s">
        <v>29</v>
      </c>
      <c r="I241" s="17"/>
      <c r="J241" s="40" t="s">
        <v>114</v>
      </c>
      <c r="K241" s="41" t="s">
        <v>40</v>
      </c>
      <c r="L241" s="17"/>
      <c r="N241" s="17"/>
      <c r="O241" s="17"/>
      <c r="P241" s="17"/>
      <c r="Q241" s="18"/>
      <c r="R241" s="17"/>
      <c r="S241" s="18"/>
      <c r="T241" s="18"/>
    </row>
    <row r="242" spans="2:20" ht="14.25" hidden="1" outlineLevel="1" x14ac:dyDescent="0.25">
      <c r="B242" s="76"/>
      <c r="C242" s="76" t="s">
        <v>191</v>
      </c>
      <c r="D242" s="76"/>
      <c r="E242" s="76"/>
      <c r="F242" s="77">
        <f>SUM(F244:F257)</f>
        <v>106.60088015999999</v>
      </c>
      <c r="G242" s="77">
        <f>SUM(G244:G257)</f>
        <v>102.58759141018427</v>
      </c>
      <c r="H242" s="77">
        <f>SUM(H244:H257)</f>
        <v>33.751991196047953</v>
      </c>
      <c r="I242" s="76"/>
      <c r="J242" s="77">
        <f>F242+G242</f>
        <v>209.18847157018428</v>
      </c>
      <c r="K242" s="77">
        <f>SUM(F242:H242)</f>
        <v>242.94046276623223</v>
      </c>
      <c r="L242" s="76" t="s">
        <v>198</v>
      </c>
      <c r="N242" s="17"/>
      <c r="O242" s="17"/>
      <c r="P242" s="17"/>
      <c r="Q242" s="18"/>
      <c r="R242" s="17"/>
      <c r="S242" s="18"/>
      <c r="T242" s="18"/>
    </row>
    <row r="243" spans="2:20" hidden="1" outlineLevel="1" x14ac:dyDescent="0.2">
      <c r="B243" s="17"/>
      <c r="C243" s="17" t="s">
        <v>148</v>
      </c>
      <c r="D243" s="17"/>
      <c r="E243" s="17"/>
      <c r="F243" s="17"/>
      <c r="G243" s="17"/>
      <c r="H243" s="17"/>
      <c r="I243" s="17"/>
      <c r="J243" s="17"/>
      <c r="K243" s="17"/>
      <c r="L243" s="17"/>
      <c r="N243" s="17" t="s">
        <v>148</v>
      </c>
      <c r="O243" s="17"/>
      <c r="P243" s="17"/>
      <c r="Q243" s="18"/>
      <c r="R243" s="17"/>
      <c r="S243" s="18"/>
      <c r="T243" s="18"/>
    </row>
    <row r="244" spans="2:20" ht="15.75" hidden="1" outlineLevel="1" x14ac:dyDescent="0.3">
      <c r="B244" s="302"/>
      <c r="C244" s="17"/>
      <c r="D244" s="17" t="s">
        <v>128</v>
      </c>
      <c r="E244" s="17"/>
      <c r="F244" s="38">
        <f>IF(NOT(ISBLANK('Referenz Pflasterwerk'!$I16)),'Referenz Pflasterwerk'!$I16,'Referenz Pflasterwerk'!$F16)*IF(NOT(ISBLANK('Eingabe EF'!$AS9)),'Eingabe EF'!$AS9,'Eingabe EF'!$AQ9)</f>
        <v>1.6484399999999999</v>
      </c>
      <c r="G244" s="38">
        <f>IF(NOT(ISBLANK('Referenz Pflasterwerk'!$I16)),'Referenz Pflasterwerk'!$I16,'Referenz Pflasterwerk'!$F16)*IF(NOT(ISBLANK('Eingabe EF'!$AW9)),'Eingabe EF'!$AW9,'Eingabe EF'!$AU9)</f>
        <v>0</v>
      </c>
      <c r="H244" s="38">
        <f>IF(NOT(ISBLANK('Referenz Pflasterwerk'!$I16)),'Referenz Pflasterwerk'!$I16,'Referenz Pflasterwerk'!$F16)*IF(NOT(ISBLANK('Eingabe EF'!$BA9)),'Eingabe EF'!$BA9,'Eingabe EF'!$AY9)</f>
        <v>0.28215000000000001</v>
      </c>
      <c r="I244" s="17"/>
      <c r="J244" s="38">
        <f>F244+G244</f>
        <v>1.6484399999999999</v>
      </c>
      <c r="K244" s="38">
        <f>SUM(F244:H244)</f>
        <v>1.93059</v>
      </c>
      <c r="L244" s="17" t="s">
        <v>199</v>
      </c>
      <c r="N244" s="302"/>
      <c r="O244" s="17" t="s">
        <v>128</v>
      </c>
      <c r="P244" s="17"/>
      <c r="Q244" s="19"/>
      <c r="R244" s="17"/>
      <c r="S244" s="42">
        <f>IF(NOT(ISBLANK('Referenz Pflasterwerk'!$I16)),'Referenz Pflasterwerk'!$I16,'Referenz Pflasterwerk'!$F16)/1000*IF(NOT(ISBLANK('Eingabe Preise'!$O10)),'Eingabe Preise'!$O10,'Eingabe Preise'!$M10)</f>
        <v>549</v>
      </c>
      <c r="T244" s="20" t="s">
        <v>109</v>
      </c>
    </row>
    <row r="245" spans="2:20" ht="15.75" hidden="1" outlineLevel="1" x14ac:dyDescent="0.3">
      <c r="B245" s="302"/>
      <c r="C245" s="17"/>
      <c r="D245" s="17" t="s">
        <v>166</v>
      </c>
      <c r="E245" s="17"/>
      <c r="F245" s="38">
        <f>IF(NOT(ISBLANK('Referenz Pflasterwerk'!$I17)),'Referenz Pflasterwerk'!$I17,'Referenz Pflasterwerk'!$F17)*IF(NOT(ISBLANK('Eingabe EF'!$AS10)),'Eingabe EF'!$AS10,'Eingabe EF'!$AQ10)</f>
        <v>0.53351999999999999</v>
      </c>
      <c r="G245" s="38">
        <f>IF(NOT(ISBLANK('Referenz Pflasterwerk'!$I17)),'Referenz Pflasterwerk'!$I17,'Referenz Pflasterwerk'!$F17)*IF(NOT(ISBLANK('Eingabe EF'!$AW10)),'Eingabe EF'!$AW10,'Eingabe EF'!$AU10)</f>
        <v>0</v>
      </c>
      <c r="H245" s="38">
        <f>IF(NOT(ISBLANK('Referenz Pflasterwerk'!$I17)),'Referenz Pflasterwerk'!$I17,'Referenz Pflasterwerk'!$F17)*IF(NOT(ISBLANK('Eingabe EF'!$BA10)),'Eingabe EF'!$BA10,'Eingabe EF'!$AY10)</f>
        <v>7.9152E-2</v>
      </c>
      <c r="I245" s="17"/>
      <c r="J245" s="38">
        <f>F245+G245</f>
        <v>0.53351999999999999</v>
      </c>
      <c r="K245" s="38">
        <f>SUM(F245:H245)</f>
        <v>0.61267199999999999</v>
      </c>
      <c r="L245" s="17" t="s">
        <v>199</v>
      </c>
      <c r="N245" s="302"/>
      <c r="O245" s="17" t="s">
        <v>166</v>
      </c>
      <c r="P245" s="17"/>
      <c r="Q245" s="20"/>
      <c r="R245" s="17"/>
      <c r="S245" s="42">
        <f>IF(NOT(ISBLANK('Referenz Pflasterwerk'!$I17)),'Referenz Pflasterwerk'!$I17,'Referenz Pflasterwerk'!$F17)/1000*IF(NOT(ISBLANK('Eingabe Preise'!$O11)),'Eingabe Preise'!$O11,'Eingabe Preise'!$M11)</f>
        <v>92</v>
      </c>
      <c r="T245" s="20" t="s">
        <v>109</v>
      </c>
    </row>
    <row r="246" spans="2:20" ht="15.75" hidden="1" outlineLevel="1" x14ac:dyDescent="0.3">
      <c r="B246" s="302"/>
      <c r="C246" s="17"/>
      <c r="D246" s="17" t="s">
        <v>154</v>
      </c>
      <c r="E246" s="17"/>
      <c r="F246" s="38">
        <f>IF(NOT(ISBLANK('Referenz Pflasterwerk'!$I18)),'Referenz Pflasterwerk'!$I18,'Referenz Pflasterwerk'!$F18)*IF(NOT(ISBLANK('Eingabe EF'!$AS11)),'Eingabe EF'!$AS11,'Eingabe EF'!$AQ11)</f>
        <v>0</v>
      </c>
      <c r="G246" s="38">
        <f>IF(NOT(ISBLANK('Referenz Pflasterwerk'!$I18)),'Referenz Pflasterwerk'!$I18,'Referenz Pflasterwerk'!$F18)*IF(NOT(ISBLANK('Eingabe EF'!$AW11)),'Eingabe EF'!$AW11,'Eingabe EF'!$AU11)</f>
        <v>20.517518282036853</v>
      </c>
      <c r="H246" s="38">
        <f>IF(NOT(ISBLANK('Referenz Pflasterwerk'!$I18)),'Referenz Pflasterwerk'!$I18,'Referenz Pflasterwerk'!$F18)*IF(NOT(ISBLANK('Eingabe EF'!$BA11)),'Eingabe EF'!$BA11,'Eingabe EF'!$AY11)</f>
        <v>3.0078037272095908</v>
      </c>
      <c r="I246" s="17"/>
      <c r="J246" s="38">
        <f>F246+G246</f>
        <v>20.517518282036853</v>
      </c>
      <c r="K246" s="38">
        <f>SUM(F246:H246)</f>
        <v>23.525322009246445</v>
      </c>
      <c r="L246" s="17" t="s">
        <v>199</v>
      </c>
      <c r="N246" s="302"/>
      <c r="O246" s="17" t="s">
        <v>154</v>
      </c>
      <c r="P246" s="17"/>
      <c r="Q246" s="20"/>
      <c r="R246" s="17"/>
      <c r="S246" s="42">
        <f>IF(NOT(ISBLANK('Referenz Pflasterwerk'!$I18)),'Referenz Pflasterwerk'!$I18,'Referenz Pflasterwerk'!$F18)/1000*IF(NOT(ISBLANK('Eingabe Preise'!$O12)),'Eingabe Preise'!$O12,'Eingabe Preise'!$M12)</f>
        <v>25800</v>
      </c>
      <c r="T246" s="20" t="s">
        <v>109</v>
      </c>
    </row>
    <row r="247" spans="2:20" ht="15.75" hidden="1" outlineLevel="1" x14ac:dyDescent="0.3">
      <c r="B247" s="302"/>
      <c r="C247" s="17"/>
      <c r="D247" s="17" t="s">
        <v>129</v>
      </c>
      <c r="E247" s="17"/>
      <c r="F247" s="44">
        <f>IF(NOT(ISBLANK('Referenz Pflasterwerk'!$I19)),'Referenz Pflasterwerk'!$I19,'Referenz Pflasterwerk'!$F19)*IF(NOT(ISBLANK('Eingabe EF'!$AS12)),'Eingabe EF'!$AS12,0)</f>
        <v>0</v>
      </c>
      <c r="G247" s="44">
        <f>IF(NOT(ISBLANK('Referenz Pflasterwerk'!$I19)),'Referenz Pflasterwerk'!$I19,'Referenz Pflasterwerk'!$F19)*IF(NOT(ISBLANK('Eingabe EF'!$AW12)),'Eingabe EF'!$AW12,0)</f>
        <v>0</v>
      </c>
      <c r="H247" s="44">
        <f>IF(NOT(ISBLANK('Referenz Pflasterwerk'!$I19)),'Referenz Pflasterwerk'!$I19,'Referenz Pflasterwerk'!$F19)*IF(NOT(ISBLANK('Eingabe EF'!$BA12)),'Eingabe EF'!$BA12,0)</f>
        <v>0</v>
      </c>
      <c r="I247" s="17"/>
      <c r="J247" s="38">
        <f>F247+G247</f>
        <v>0</v>
      </c>
      <c r="K247" s="38">
        <f>SUM(F247:H247)</f>
        <v>0</v>
      </c>
      <c r="L247" s="17" t="s">
        <v>199</v>
      </c>
      <c r="N247" s="302"/>
      <c r="O247" s="17" t="s">
        <v>129</v>
      </c>
      <c r="P247" s="17"/>
      <c r="Q247" s="20"/>
      <c r="R247" s="17"/>
      <c r="S247" s="42">
        <f>IF(NOT(ISBLANK('Referenz Pflasterwerk'!$I19)),'Referenz Pflasterwerk'!$I19,'Referenz Pflasterwerk'!$F19)/1000*IF(NOT(ISBLANK('Eingabe Preise'!$O16)),'Eingabe Preise'!$O16,0)</f>
        <v>0</v>
      </c>
      <c r="T247" s="20" t="s">
        <v>109</v>
      </c>
    </row>
    <row r="248" spans="2:20" hidden="1" outlineLevel="1" x14ac:dyDescent="0.2">
      <c r="B248" s="17"/>
      <c r="C248" s="17" t="s">
        <v>149</v>
      </c>
      <c r="D248" s="17"/>
      <c r="E248" s="17"/>
      <c r="F248" s="17"/>
      <c r="G248" s="17"/>
      <c r="H248" s="17"/>
      <c r="I248" s="17"/>
      <c r="J248" s="17"/>
      <c r="K248" s="17"/>
      <c r="L248" s="17"/>
      <c r="N248" s="17" t="s">
        <v>149</v>
      </c>
      <c r="O248" s="17"/>
      <c r="P248" s="17"/>
      <c r="Q248" s="20"/>
      <c r="R248" s="17"/>
      <c r="S248" s="20"/>
      <c r="T248" s="20"/>
    </row>
    <row r="249" spans="2:20" ht="15.75" hidden="1" outlineLevel="1" x14ac:dyDescent="0.3">
      <c r="B249" s="17"/>
      <c r="C249" s="17"/>
      <c r="D249" s="17" t="s">
        <v>32</v>
      </c>
      <c r="E249" s="17"/>
      <c r="F249" s="44">
        <f>IF(NOT(ISBLANK('Referenz Pflasterwerk'!$I21)),'Referenz Pflasterwerk'!$I21,'Referenz Pflasterwerk'!$F21)*IF(NOT(ISBLANK('Eingabe EF'!$AS9)),'Eingabe EF'!$AS9,'Eingabe EF'!$AQ9)</f>
        <v>6.5937599999999996</v>
      </c>
      <c r="G249" s="44">
        <f>IF(NOT(ISBLANK('Referenz Pflasterwerk'!$I21)),'Referenz Pflasterwerk'!$I21,'Referenz Pflasterwerk'!$F21)*IF(NOT(ISBLANK('Eingabe EF'!$AW9)),'Eingabe EF'!$AW9,'Eingabe EF'!$AU9)</f>
        <v>0</v>
      </c>
      <c r="H249" s="44">
        <f>IF(NOT(ISBLANK('Referenz Pflasterwerk'!$I21)),'Referenz Pflasterwerk'!$I21,'Referenz Pflasterwerk'!$F21)*IF(NOT(ISBLANK('Eingabe EF'!$BA9)),'Eingabe EF'!$BA9,'Eingabe EF'!$AY9)</f>
        <v>1.1286</v>
      </c>
      <c r="I249" s="17"/>
      <c r="J249" s="38">
        <f t="shared" ref="J249:J250" si="47">F249+G249</f>
        <v>6.5937599999999996</v>
      </c>
      <c r="K249" s="38">
        <f t="shared" ref="K249:K250" si="48">SUM(F249:H249)</f>
        <v>7.7223600000000001</v>
      </c>
      <c r="L249" s="17" t="s">
        <v>199</v>
      </c>
      <c r="N249" s="17"/>
      <c r="O249" s="17" t="s">
        <v>32</v>
      </c>
      <c r="P249" s="17"/>
      <c r="Q249" s="20"/>
      <c r="R249" s="17"/>
      <c r="S249" s="42">
        <f>IF(NOT(ISBLANK('Referenz Pflasterwerk'!$I21)),'Referenz Pflasterwerk'!$I21,'Referenz Pflasterwerk'!$F21)/1000*IF(NOT(ISBLANK('Eingabe Preise'!$O10)),'Eingabe Preise'!$O10,'Eingabe Preise'!$M10)</f>
        <v>2196</v>
      </c>
      <c r="T249" s="20" t="s">
        <v>109</v>
      </c>
    </row>
    <row r="250" spans="2:20" ht="15.75" hidden="1" outlineLevel="1" x14ac:dyDescent="0.3">
      <c r="B250" s="17"/>
      <c r="C250" s="17"/>
      <c r="D250" s="17" t="s">
        <v>33</v>
      </c>
      <c r="E250" s="17"/>
      <c r="F250" s="44">
        <f>IF(NOT(ISBLANK('Referenz Pflasterwerk'!$I22)),'Referenz Pflasterwerk'!$I22,'Referenz Pflasterwerk'!$F22)*IF(NOT(ISBLANK('Eingabe EF'!$AS10)),'Eingabe EF'!$AS10,'Eingabe EF'!$AQ10)</f>
        <v>2.13408</v>
      </c>
      <c r="G250" s="44">
        <f>IF(NOT(ISBLANK('Referenz Pflasterwerk'!$I22)),'Referenz Pflasterwerk'!$I22,'Referenz Pflasterwerk'!$F22)*IF(NOT(ISBLANK('Eingabe EF'!$AW10)),'Eingabe EF'!$AW10,'Eingabe EF'!$AU10)</f>
        <v>0</v>
      </c>
      <c r="H250" s="44">
        <f>IF(NOT(ISBLANK('Referenz Pflasterwerk'!$I22)),'Referenz Pflasterwerk'!$I22,'Referenz Pflasterwerk'!$F22)*IF(NOT(ISBLANK('Eingabe EF'!$BA10)),'Eingabe EF'!$BA10,'Eingabe EF'!$AY10)</f>
        <v>0.316608</v>
      </c>
      <c r="I250" s="17"/>
      <c r="J250" s="38">
        <f t="shared" si="47"/>
        <v>2.13408</v>
      </c>
      <c r="K250" s="38">
        <f t="shared" si="48"/>
        <v>2.450688</v>
      </c>
      <c r="L250" s="17" t="s">
        <v>199</v>
      </c>
      <c r="N250" s="17"/>
      <c r="O250" s="17" t="s">
        <v>33</v>
      </c>
      <c r="P250" s="17"/>
      <c r="Q250" s="20"/>
      <c r="R250" s="17"/>
      <c r="S250" s="42">
        <f>IF(NOT(ISBLANK('Referenz Pflasterwerk'!$I22)),'Referenz Pflasterwerk'!$I22,'Referenz Pflasterwerk'!$F22)/1000*IF(NOT(ISBLANK('Eingabe Preise'!$O11)),'Eingabe Preise'!$O11,'Eingabe Preise'!$M11)</f>
        <v>368</v>
      </c>
      <c r="T250" s="20" t="s">
        <v>109</v>
      </c>
    </row>
    <row r="251" spans="2:20" hidden="1" outlineLevel="1" x14ac:dyDescent="0.2">
      <c r="B251" s="17"/>
      <c r="C251" s="17" t="s">
        <v>150</v>
      </c>
      <c r="D251" s="17"/>
      <c r="E251" s="17"/>
      <c r="F251" s="17"/>
      <c r="G251" s="17"/>
      <c r="H251" s="17"/>
      <c r="I251" s="17"/>
      <c r="J251" s="17"/>
      <c r="K251" s="17"/>
      <c r="L251" s="17"/>
      <c r="N251" s="17" t="s">
        <v>150</v>
      </c>
      <c r="O251" s="17"/>
      <c r="P251" s="17"/>
      <c r="Q251" s="20"/>
      <c r="R251" s="17"/>
      <c r="S251" s="20"/>
      <c r="T251" s="20"/>
    </row>
    <row r="252" spans="2:20" ht="15.75" hidden="1" outlineLevel="1" x14ac:dyDescent="0.3">
      <c r="B252" s="17"/>
      <c r="C252" s="17"/>
      <c r="D252" s="17" t="s">
        <v>152</v>
      </c>
      <c r="E252" s="17"/>
      <c r="F252" s="44">
        <f>IF(NOT(ISBLANK('Referenz Pflasterwerk'!$I24)),'Referenz Pflasterwerk'!$I24,'Referenz Pflasterwerk'!$F24)*IF(NOT(ISBLANK('Eingabe EF'!$AS11)),'Eingabe EF'!$AS11,'Eingabe EF'!$AQ11)</f>
        <v>0</v>
      </c>
      <c r="G252" s="44">
        <f>IF(NOT(ISBLANK('Referenz Pflasterwerk'!$I24)),'Referenz Pflasterwerk'!$I24,'Referenz Pflasterwerk'!$F24)*IF(NOT(ISBLANK('Eingabe EF'!$AW11)),'Eingabe EF'!$AW11,'Eingabe EF'!$AU11)</f>
        <v>82.070073128147413</v>
      </c>
      <c r="H252" s="44">
        <f>IF(NOT(ISBLANK('Referenz Pflasterwerk'!$I24)),'Referenz Pflasterwerk'!$I24,'Referenz Pflasterwerk'!$F24)*IF(NOT(ISBLANK('Eingabe EF'!$BA11)),'Eingabe EF'!$BA11,'Eingabe EF'!$AY11)</f>
        <v>12.031214908838363</v>
      </c>
      <c r="I252" s="17"/>
      <c r="J252" s="38">
        <f t="shared" ref="J252:J260" si="49">F252+G252</f>
        <v>82.070073128147413</v>
      </c>
      <c r="K252" s="38">
        <f t="shared" ref="K252:K260" si="50">SUM(F252:H252)</f>
        <v>94.101288036985778</v>
      </c>
      <c r="L252" s="17" t="s">
        <v>199</v>
      </c>
      <c r="N252" s="17"/>
      <c r="O252" s="17" t="s">
        <v>152</v>
      </c>
      <c r="P252" s="17"/>
      <c r="Q252" s="20"/>
      <c r="R252" s="17"/>
      <c r="S252" s="42">
        <f>IF(NOT(ISBLANK('Referenz Pflasterwerk'!$I24)),'Referenz Pflasterwerk'!$I24,'Referenz Pflasterwerk'!$F24)/1000*IF(NOT(ISBLANK('Eingabe Preise'!$O12)),'Eingabe Preise'!$O12,'Eingabe Preise'!$M12)</f>
        <v>103200</v>
      </c>
      <c r="T252" s="20" t="s">
        <v>109</v>
      </c>
    </row>
    <row r="253" spans="2:20" ht="15.75" hidden="1" outlineLevel="1" x14ac:dyDescent="0.3">
      <c r="B253" s="17"/>
      <c r="C253" s="17"/>
      <c r="D253" s="17" t="s">
        <v>125</v>
      </c>
      <c r="E253" s="17"/>
      <c r="F253" s="44">
        <f>IF(NOT(ISBLANK('Referenz Pflasterwerk'!$I25)),'Referenz Pflasterwerk'!$I25,'Referenz Pflasterwerk'!$F25)*IF(NOT(ISBLANK('Eingabe EF'!$AS13)),'Eingabe EF'!$AS13,'Eingabe EF'!$AQ13)</f>
        <v>0</v>
      </c>
      <c r="G253" s="44">
        <f>IF(NOT(ISBLANK('Referenz Pflasterwerk'!$I25)),'Referenz Pflasterwerk'!$I25,'Referenz Pflasterwerk'!$F25)*IF(NOT(ISBLANK('Eingabe EF'!$AW13)),'Eingabe EF'!$AW13,'Eingabe EF'!$AU13)</f>
        <v>0</v>
      </c>
      <c r="H253" s="44">
        <f>IF(NOT(ISBLANK('Referenz Pflasterwerk'!$I25)),'Referenz Pflasterwerk'!$I25,'Referenz Pflasterwerk'!$F25)*IF(NOT(ISBLANK('Eingabe EF'!$BA13)),'Eingabe EF'!$BA13,'Eingabe EF'!$AY13)</f>
        <v>0</v>
      </c>
      <c r="I253" s="17"/>
      <c r="J253" s="38">
        <f t="shared" si="49"/>
        <v>0</v>
      </c>
      <c r="K253" s="38">
        <f t="shared" si="50"/>
        <v>0</v>
      </c>
      <c r="L253" s="17" t="s">
        <v>199</v>
      </c>
      <c r="N253" s="17"/>
      <c r="O253" s="17" t="s">
        <v>125</v>
      </c>
      <c r="P253" s="17"/>
      <c r="Q253" s="20"/>
      <c r="R253" s="17"/>
      <c r="S253" s="42">
        <f>IF(NOT(ISBLANK('Referenz Pflasterwerk'!$I25)),'Referenz Pflasterwerk'!$I25,'Referenz Pflasterwerk'!$F25)/1000*IF(NOT(ISBLANK('Eingabe Preise'!$O13)),'Eingabe Preise'!$O13,'Eingabe Preise'!$M13)</f>
        <v>0</v>
      </c>
      <c r="T253" s="20" t="s">
        <v>109</v>
      </c>
    </row>
    <row r="254" spans="2:20" ht="15.75" hidden="1" outlineLevel="1" x14ac:dyDescent="0.3">
      <c r="B254" s="17"/>
      <c r="C254" s="17"/>
      <c r="D254" s="17" t="s">
        <v>151</v>
      </c>
      <c r="E254" s="17"/>
      <c r="F254" s="44">
        <f>IF(NOT(ISBLANK('Referenz Pflasterwerk'!$I26)),'Referenz Pflasterwerk'!$I26,'Referenz Pflasterwerk'!$F26)*IF(NOT(ISBLANK('Eingabe EF'!$AS14)),'Eingabe EF'!$AS14,0)</f>
        <v>0</v>
      </c>
      <c r="G254" s="44">
        <f>IF(NOT(ISBLANK('Referenz Pflasterwerk'!$I26)),'Referenz Pflasterwerk'!$I26,'Referenz Pflasterwerk'!$F26)*IF(NOT(ISBLANK('Eingabe EF'!$AW14)),'Eingabe EF'!$AW14,0)</f>
        <v>0</v>
      </c>
      <c r="H254" s="44">
        <f>IF(NOT(ISBLANK('Referenz Pflasterwerk'!$I26)),'Referenz Pflasterwerk'!$I26,'Referenz Pflasterwerk'!$F26)*IF(NOT(ISBLANK('Eingabe EF'!$BA14)),'Eingabe EF'!$BA14,0)</f>
        <v>0</v>
      </c>
      <c r="I254" s="17"/>
      <c r="J254" s="38">
        <f t="shared" si="49"/>
        <v>0</v>
      </c>
      <c r="K254" s="38">
        <f t="shared" si="50"/>
        <v>0</v>
      </c>
      <c r="L254" s="17" t="s">
        <v>199</v>
      </c>
      <c r="N254" s="17"/>
      <c r="O254" s="17" t="s">
        <v>151</v>
      </c>
      <c r="P254" s="17"/>
      <c r="Q254" s="30"/>
      <c r="R254" s="17"/>
      <c r="S254" s="42">
        <f>IF(NOT(ISBLANK('Referenz Pflasterwerk'!$I26)),'Referenz Pflasterwerk'!$I26,'Referenz Pflasterwerk'!$F26)/1000*IF(NOT(ISBLANK('Eingabe Preise'!$O17)),'Eingabe Preise'!$O17,0)</f>
        <v>0</v>
      </c>
      <c r="T254" s="20" t="s">
        <v>109</v>
      </c>
    </row>
    <row r="255" spans="2:20" hidden="1" outlineLevel="1" x14ac:dyDescent="0.2">
      <c r="B255" s="17"/>
      <c r="C255" s="17"/>
      <c r="D255" s="17"/>
      <c r="E255" s="17"/>
      <c r="F255" s="17"/>
      <c r="G255" s="17"/>
      <c r="H255" s="17"/>
      <c r="I255" s="17"/>
      <c r="J255" s="17"/>
      <c r="K255" s="17"/>
      <c r="L255" s="17"/>
      <c r="N255" s="17"/>
      <c r="O255" s="17"/>
      <c r="P255" s="17"/>
      <c r="Q255" s="30"/>
      <c r="R255" s="17"/>
      <c r="S255" s="17"/>
      <c r="T255" s="17"/>
    </row>
    <row r="256" spans="2:20" ht="15.75" hidden="1" outlineLevel="1" x14ac:dyDescent="0.3">
      <c r="B256" s="17"/>
      <c r="C256" s="17" t="s">
        <v>78</v>
      </c>
      <c r="D256" s="17" t="s">
        <v>35</v>
      </c>
      <c r="E256" s="17"/>
      <c r="F256" s="44">
        <f>IF(NOT(ISBLANK('Referenz Pflasterwerk'!$I28)),'Referenz Pflasterwerk'!$I28,'Referenz Pflasterwerk'!$F28)*IF(NOT(ISBLANK('Eingabe EF'!$AS15)),'Eingabe EF'!$AS15,'Eingabe EF'!$AQ15)</f>
        <v>85.058737919999984</v>
      </c>
      <c r="G256" s="44">
        <f>IF(NOT(ISBLANK('Referenz Pflasterwerk'!$I28)),'Referenz Pflasterwerk'!$I28,'Referenz Pflasterwerk'!$F28)*IF(NOT(ISBLANK('Eingabe EF'!$AW15)),'Eingabe EF'!$AW15,'Eingabe EF'!$AU15)</f>
        <v>0</v>
      </c>
      <c r="H256" s="44">
        <f>IF(NOT(ISBLANK('Referenz Pflasterwerk'!$I28)),'Referenz Pflasterwerk'!$I28,'Referenz Pflasterwerk'!$F28)*IF(NOT(ISBLANK('Eingabe EF'!$BA15)),'Eingabe EF'!$BA15,'Eingabe EF'!$AY15)</f>
        <v>15.027966720000002</v>
      </c>
      <c r="I256" s="17"/>
      <c r="J256" s="38">
        <f t="shared" ref="J256:J258" si="51">F256+G256</f>
        <v>85.058737919999984</v>
      </c>
      <c r="K256" s="38">
        <f t="shared" ref="K256:K258" si="52">SUM(F256:H256)</f>
        <v>100.08670463999999</v>
      </c>
      <c r="L256" s="17" t="s">
        <v>199</v>
      </c>
      <c r="N256" s="17"/>
      <c r="O256" s="17" t="s">
        <v>35</v>
      </c>
      <c r="P256" s="17" t="s">
        <v>78</v>
      </c>
      <c r="Q256" s="30"/>
      <c r="R256" s="17"/>
      <c r="S256" s="42">
        <f>IF(NOT(ISBLANK('Referenz Pflasterwerk'!$I28)),'Referenz Pflasterwerk'!$I28,'Referenz Pflasterwerk'!$F28)*IF(NOT(ISBLANK('Eingabe Preise'!$O14)),'Eingabe Preise'!$O14,'Eingabe Preise'!$M14)</f>
        <v>35968</v>
      </c>
      <c r="T256" s="20" t="s">
        <v>109</v>
      </c>
    </row>
    <row r="257" spans="2:20" ht="15.75" hidden="1" outlineLevel="1" x14ac:dyDescent="0.3">
      <c r="B257" s="17"/>
      <c r="C257" s="17" t="s">
        <v>77</v>
      </c>
      <c r="D257" s="17" t="s">
        <v>35</v>
      </c>
      <c r="E257" s="17"/>
      <c r="F257" s="44">
        <f>IF(NOT(ISBLANK('Referenz Pflasterwerk'!$I29)),'Referenz Pflasterwerk'!$I29,'Referenz Pflasterwerk'!$F29)*IF(NOT(ISBLANK('Eingabe EF'!$AS15)),'Eingabe EF'!$AS15,'Eingabe EF'!$AQ15)</f>
        <v>10.632342239999998</v>
      </c>
      <c r="G257" s="44">
        <f>IF(NOT(ISBLANK('Referenz Pflasterwerk'!$I29)),'Referenz Pflasterwerk'!$I29,'Referenz Pflasterwerk'!$F29)*IF(NOT(ISBLANK('Eingabe EF'!$AW15)),'Eingabe EF'!$AW15,'Eingabe EF'!$AU15)</f>
        <v>0</v>
      </c>
      <c r="H257" s="44">
        <f>IF(NOT(ISBLANK('Referenz Pflasterwerk'!$I29)),'Referenz Pflasterwerk'!$I29,'Referenz Pflasterwerk'!$F29)*IF(NOT(ISBLANK('Eingabe EF'!$BA15)),'Eingabe EF'!$BA15,'Eingabe EF'!$AY15)</f>
        <v>1.8784958400000002</v>
      </c>
      <c r="I257" s="17"/>
      <c r="J257" s="38">
        <f t="shared" si="51"/>
        <v>10.632342239999998</v>
      </c>
      <c r="K257" s="38">
        <f t="shared" si="52"/>
        <v>12.510838079999999</v>
      </c>
      <c r="L257" s="17" t="s">
        <v>199</v>
      </c>
      <c r="N257" s="17"/>
      <c r="O257" s="17" t="s">
        <v>35</v>
      </c>
      <c r="P257" s="17" t="s">
        <v>77</v>
      </c>
      <c r="Q257" s="30"/>
      <c r="R257" s="17"/>
      <c r="S257" s="42">
        <f>IF(NOT(ISBLANK('Referenz Pflasterwerk'!$I29)),'Referenz Pflasterwerk'!$I29,'Referenz Pflasterwerk'!$F29)*IF(NOT(ISBLANK('Eingabe Preise'!$O14)),'Eingabe Preise'!$O14,'Eingabe Preise'!$M14)</f>
        <v>4496</v>
      </c>
      <c r="T257" s="20" t="s">
        <v>109</v>
      </c>
    </row>
    <row r="258" spans="2:20" ht="14.25" hidden="1" outlineLevel="1" x14ac:dyDescent="0.25">
      <c r="B258" s="69"/>
      <c r="C258" s="69" t="s">
        <v>190</v>
      </c>
      <c r="D258" s="69"/>
      <c r="E258" s="69"/>
      <c r="F258" s="71">
        <f>F259+F260</f>
        <v>0</v>
      </c>
      <c r="G258" s="71">
        <f t="shared" ref="G258:H258" si="53">G259+G260</f>
        <v>0</v>
      </c>
      <c r="H258" s="71">
        <f t="shared" si="53"/>
        <v>578.62626120000004</v>
      </c>
      <c r="I258" s="69"/>
      <c r="J258" s="71">
        <f t="shared" si="51"/>
        <v>0</v>
      </c>
      <c r="K258" s="71">
        <f t="shared" si="52"/>
        <v>578.62626120000004</v>
      </c>
      <c r="L258" s="76" t="s">
        <v>198</v>
      </c>
      <c r="N258" s="17"/>
      <c r="O258" s="17"/>
      <c r="P258" s="17"/>
      <c r="Q258" s="30"/>
      <c r="R258" s="17"/>
      <c r="S258" s="17"/>
      <c r="T258" s="17"/>
    </row>
    <row r="259" spans="2:20" ht="15.75" hidden="1" outlineLevel="1" x14ac:dyDescent="0.3">
      <c r="B259" s="17"/>
      <c r="C259" s="17"/>
      <c r="D259" s="17" t="s">
        <v>46</v>
      </c>
      <c r="E259" s="17"/>
      <c r="F259" s="44">
        <f>IF(NOT(ISBLANK('Referenz Pflasterwerk'!$I32)),'Referenz Pflasterwerk'!$I32,'Referenz Pflasterwerk'!$F32)*IF(NOT(ISBLANK('Eingabe EF'!$AS17)),'Eingabe EF'!$AS17,'Eingabe EF'!$AQ17)</f>
        <v>0</v>
      </c>
      <c r="G259" s="44">
        <f>IF(NOT(ISBLANK('Referenz Pflasterwerk'!$I32)),'Referenz Pflasterwerk'!$I32,'Referenz Pflasterwerk'!$F32)*IF(NOT(ISBLANK('Eingabe EF'!$AW17)),'Eingabe EF'!$AW17,'Eingabe EF'!$AU17)</f>
        <v>0</v>
      </c>
      <c r="H259" s="44">
        <f>IF(NOT(ISBLANK('Referenz Pflasterwerk'!$I32)),'Referenz Pflasterwerk'!$I32,'Referenz Pflasterwerk'!$F32)*IF(NOT(ISBLANK('Eingabe EF'!$BA17)),'Eingabe EF'!$BA17,'Eingabe EF'!$AY17)</f>
        <v>250.21676159999998</v>
      </c>
      <c r="I259" s="17"/>
      <c r="J259" s="38">
        <f t="shared" si="49"/>
        <v>0</v>
      </c>
      <c r="K259" s="38">
        <f t="shared" si="50"/>
        <v>250.21676159999998</v>
      </c>
      <c r="L259" s="17" t="s">
        <v>199</v>
      </c>
      <c r="N259" s="17"/>
      <c r="O259" s="17"/>
      <c r="P259" s="17"/>
      <c r="Q259" s="30"/>
      <c r="R259" s="17"/>
      <c r="S259" s="17"/>
      <c r="T259" s="17"/>
    </row>
    <row r="260" spans="2:20" ht="15.75" hidden="1" outlineLevel="1" x14ac:dyDescent="0.3">
      <c r="B260" s="17"/>
      <c r="C260" s="17"/>
      <c r="D260" s="17" t="s">
        <v>47</v>
      </c>
      <c r="E260" s="17"/>
      <c r="F260" s="44">
        <f>IF(NOT(ISBLANK('Referenz Pflasterwerk'!$I33)),'Referenz Pflasterwerk'!$I33,'Referenz Pflasterwerk'!$F33)*IF(NOT(ISBLANK('Eingabe EF'!$AS18)),'Eingabe EF'!$AS18,'Eingabe EF'!$AQ18)</f>
        <v>0</v>
      </c>
      <c r="G260" s="44">
        <f>IF(NOT(ISBLANK('Referenz Pflasterwerk'!$I33)),'Referenz Pflasterwerk'!$I33,'Referenz Pflasterwerk'!$F33)*IF(NOT(ISBLANK('Eingabe EF'!$AW18)),'Eingabe EF'!$AW18,'Eingabe EF'!$AU18)</f>
        <v>0</v>
      </c>
      <c r="H260" s="44">
        <f>IF(NOT(ISBLANK('Referenz Pflasterwerk'!$I33)),'Referenz Pflasterwerk'!$I33,'Referenz Pflasterwerk'!$F33)*IF(NOT(ISBLANK('Eingabe EF'!$BA18)),'Eingabe EF'!$BA18,'Eingabe EF'!$AY18)</f>
        <v>328.4094996</v>
      </c>
      <c r="I260" s="17"/>
      <c r="J260" s="38">
        <f t="shared" si="49"/>
        <v>0</v>
      </c>
      <c r="K260" s="38">
        <f t="shared" si="50"/>
        <v>328.4094996</v>
      </c>
      <c r="L260" s="17" t="s">
        <v>199</v>
      </c>
      <c r="N260" s="17"/>
      <c r="O260" s="17" t="s">
        <v>31</v>
      </c>
      <c r="P260" s="17"/>
      <c r="Q260" s="30"/>
      <c r="R260" s="17"/>
      <c r="S260" s="42">
        <f>S272+S273</f>
        <v>0</v>
      </c>
      <c r="T260" s="20" t="s">
        <v>109</v>
      </c>
    </row>
    <row r="261" spans="2:20" hidden="1" outlineLevel="1" x14ac:dyDescent="0.2">
      <c r="B261" s="17"/>
      <c r="C261" s="17"/>
      <c r="D261" s="17"/>
      <c r="E261" s="17"/>
      <c r="F261" s="20"/>
      <c r="G261" s="20"/>
      <c r="H261" s="20"/>
      <c r="I261" s="17"/>
      <c r="J261" s="20"/>
      <c r="K261" s="20"/>
      <c r="L261" s="17"/>
      <c r="N261" s="17"/>
      <c r="O261" s="45" t="s">
        <v>155</v>
      </c>
      <c r="P261" s="17"/>
      <c r="Q261" s="30"/>
      <c r="R261" s="17"/>
      <c r="S261" s="42">
        <f>IF(NOT(ISBLANK($K$31)),$K$31,$I$31)</f>
        <v>0</v>
      </c>
      <c r="T261" s="20" t="s">
        <v>109</v>
      </c>
    </row>
    <row r="262" spans="2:20" ht="14.25" hidden="1" outlineLevel="1" x14ac:dyDescent="0.25">
      <c r="B262" s="69"/>
      <c r="C262" s="69" t="s">
        <v>69</v>
      </c>
      <c r="D262" s="70"/>
      <c r="E262" s="70"/>
      <c r="F262" s="71">
        <f>SUM(F263:F266)</f>
        <v>0</v>
      </c>
      <c r="G262" s="71">
        <f t="shared" ref="G262" si="54">SUM(G263:G266)</f>
        <v>0</v>
      </c>
      <c r="H262" s="71">
        <f>SUM(H263:H266)</f>
        <v>6914.9160000000002</v>
      </c>
      <c r="I262" s="70"/>
      <c r="J262" s="71">
        <f t="shared" ref="J262:J266" si="55">F262+G262</f>
        <v>0</v>
      </c>
      <c r="K262" s="71">
        <f t="shared" ref="K262" si="56">SUM(F262:H262)</f>
        <v>6914.9160000000002</v>
      </c>
      <c r="L262" s="76" t="s">
        <v>198</v>
      </c>
      <c r="N262" s="17"/>
      <c r="O262" s="45" t="s">
        <v>162</v>
      </c>
      <c r="P262" s="17"/>
      <c r="Q262" s="30"/>
      <c r="R262" s="17"/>
      <c r="S262" s="42">
        <f>S275+S276</f>
        <v>0</v>
      </c>
      <c r="T262" s="20" t="s">
        <v>109</v>
      </c>
    </row>
    <row r="263" spans="2:20" ht="15.75" hidden="1" outlineLevel="1" x14ac:dyDescent="0.3">
      <c r="B263" s="302"/>
      <c r="C263" s="17"/>
      <c r="D263" s="17" t="s">
        <v>48</v>
      </c>
      <c r="E263" s="17"/>
      <c r="F263" s="38">
        <f>E233*IF(NOT(ISBLANK('Referenz Pflasterwerk'!$I36)),'Referenz Pflasterwerk'!$I36,'Referenz Pflasterwerk'!$F36)*IF(NOT(ISBLANK('Eingabe EF'!$AS21)),'Eingabe EF'!$AS21,'Eingabe EF'!$AQ21)*IF(NOT(ISBLANK('Referenz Pflasterwerk'!$I$12)),'Referenz Pflasterwerk'!$I$12,'Referenz Pflasterwerk'!$F$12)</f>
        <v>0</v>
      </c>
      <c r="G263" s="38">
        <f>E233*IF(NOT(ISBLANK('Referenz Pflasterwerk'!$I36)),'Referenz Pflasterwerk'!$I36,'Referenz Pflasterwerk'!$F36)*IF(NOT(ISBLANK('Eingabe EF'!$AW21)),'Eingabe EF'!$AW21,'Eingabe EF'!$AU21)*IF(NOT(ISBLANK('Referenz Pflasterwerk'!$I$12)),'Referenz Pflasterwerk'!$I$12,'Referenz Pflasterwerk'!$F$12)</f>
        <v>0</v>
      </c>
      <c r="H263" s="38">
        <f>E233*IF(NOT(ISBLANK('Referenz Pflasterwerk'!$I36)),'Referenz Pflasterwerk'!$I36,'Referenz Pflasterwerk'!$F36)*IF(NOT(ISBLANK('Eingabe EF'!$BA21)),'Eingabe EF'!$BA21,'Eingabe EF'!$AY21)*IF(NOT(ISBLANK('Referenz Pflasterwerk'!$I$12)),'Referenz Pflasterwerk'!$I$12,'Referenz Pflasterwerk'!$F$12)</f>
        <v>1930.1625000000004</v>
      </c>
      <c r="I263" s="17"/>
      <c r="J263" s="38">
        <f t="shared" si="55"/>
        <v>0</v>
      </c>
      <c r="K263" s="38">
        <f t="shared" ref="K263:K266" si="57">SUM(F263:H263)</f>
        <v>1930.1625000000004</v>
      </c>
      <c r="L263" s="17" t="s">
        <v>199</v>
      </c>
      <c r="N263" s="17"/>
      <c r="O263" s="17"/>
      <c r="P263" s="17"/>
      <c r="Q263" s="17"/>
      <c r="R263" s="17"/>
      <c r="S263" s="17"/>
      <c r="T263" s="17"/>
    </row>
    <row r="264" spans="2:20" ht="15.75" hidden="1" outlineLevel="1" x14ac:dyDescent="0.3">
      <c r="B264" s="302"/>
      <c r="C264" s="17"/>
      <c r="D264" s="17" t="s">
        <v>50</v>
      </c>
      <c r="E264" s="17"/>
      <c r="F264" s="38">
        <f>E234*IF(NOT(ISBLANK('Referenz Pflasterwerk'!$I37)),'Referenz Pflasterwerk'!$I37,'Referenz Pflasterwerk'!$F37)*IF(NOT(ISBLANK('Eingabe EF'!$AS22)),'Eingabe EF'!$AS22,'Eingabe EF'!$AQ22)*IF(NOT(ISBLANK('Referenz Pflasterwerk'!$I$12)),'Referenz Pflasterwerk'!$I$12,'Referenz Pflasterwerk'!$F$12)</f>
        <v>0</v>
      </c>
      <c r="G264" s="38">
        <f>E234*IF(NOT(ISBLANK('Referenz Pflasterwerk'!$I37)),'Referenz Pflasterwerk'!$I37,'Referenz Pflasterwerk'!$F37)*IF(NOT(ISBLANK('Eingabe EF'!$AW22)),'Eingabe EF'!$AW22,'Eingabe EF'!$AU22)*IF(NOT(ISBLANK('Referenz Pflasterwerk'!$I$12)),'Referenz Pflasterwerk'!$I$12,'Referenz Pflasterwerk'!$F$12)</f>
        <v>0</v>
      </c>
      <c r="H264" s="38">
        <f>E234*IF(NOT(ISBLANK('Referenz Pflasterwerk'!$I37)),'Referenz Pflasterwerk'!$I37,'Referenz Pflasterwerk'!$F37)*IF(NOT(ISBLANK('Eingabe EF'!$BA22)),'Eingabe EF'!$BA22,'Eingabe EF'!$AY22)*IF(NOT(ISBLANK('Referenz Pflasterwerk'!$I$12)),'Referenz Pflasterwerk'!$I$12,'Referenz Pflasterwerk'!$F$12)</f>
        <v>4494.2309999999998</v>
      </c>
      <c r="I264" s="17"/>
      <c r="J264" s="38">
        <f t="shared" si="55"/>
        <v>0</v>
      </c>
      <c r="K264" s="38">
        <f t="shared" si="57"/>
        <v>4494.2309999999998</v>
      </c>
      <c r="L264" s="17" t="s">
        <v>199</v>
      </c>
      <c r="N264" s="17"/>
      <c r="O264" s="17"/>
      <c r="P264" s="17"/>
      <c r="Q264" s="17"/>
      <c r="R264" s="17"/>
      <c r="S264" s="17"/>
      <c r="T264" s="17"/>
    </row>
    <row r="265" spans="2:20" ht="15.75" hidden="1" outlineLevel="1" x14ac:dyDescent="0.3">
      <c r="B265" s="302"/>
      <c r="C265" s="17"/>
      <c r="D265" s="17" t="s">
        <v>51</v>
      </c>
      <c r="E265" s="17"/>
      <c r="F265" s="38">
        <f>E235*IF(NOT(ISBLANK('Referenz Pflasterwerk'!$I38)),'Referenz Pflasterwerk'!$I38,'Referenz Pflasterwerk'!$F38)*IF(NOT(ISBLANK('Eingabe EF'!$AS23)),'Eingabe EF'!$AS23,'Eingabe EF'!$AQ23)*IF(NOT(ISBLANK('Referenz Pflasterwerk'!$I$12)),'Referenz Pflasterwerk'!$I$12,'Referenz Pflasterwerk'!$F$12)</f>
        <v>0</v>
      </c>
      <c r="G265" s="38">
        <f>E235*IF(NOT(ISBLANK('Referenz Pflasterwerk'!$I38)),'Referenz Pflasterwerk'!$I38,'Referenz Pflasterwerk'!$F38)*IF(NOT(ISBLANK('Eingabe EF'!$AW23)),'Eingabe EF'!$AW23,'Eingabe EF'!$AU23)*IF(NOT(ISBLANK('Referenz Pflasterwerk'!$I$12)),'Referenz Pflasterwerk'!$I$12,'Referenz Pflasterwerk'!$F$12)</f>
        <v>0</v>
      </c>
      <c r="H265" s="38">
        <f>E235*IF(NOT(ISBLANK('Referenz Pflasterwerk'!$I38)),'Referenz Pflasterwerk'!$I38,'Referenz Pflasterwerk'!$F38)*IF(NOT(ISBLANK('Eingabe EF'!$BA23)),'Eingabe EF'!$BA23,'Eingabe EF'!$AY23)*IF(NOT(ISBLANK('Referenz Pflasterwerk'!$I$12)),'Referenz Pflasterwerk'!$I$12,'Referenz Pflasterwerk'!$F$12)</f>
        <v>490.52250000000009</v>
      </c>
      <c r="I265" s="17"/>
      <c r="J265" s="38">
        <f t="shared" si="55"/>
        <v>0</v>
      </c>
      <c r="K265" s="38">
        <f t="shared" si="57"/>
        <v>490.52250000000009</v>
      </c>
      <c r="L265" s="17" t="s">
        <v>199</v>
      </c>
      <c r="N265" s="17"/>
      <c r="O265" s="17" t="s">
        <v>201</v>
      </c>
      <c r="P265" s="17"/>
      <c r="Q265" s="30"/>
      <c r="R265" s="17"/>
      <c r="S265" s="42">
        <f>F305*IF(NOT(ISBLANK('Eingabe Preise'!$O21)),'Eingabe Preise'!$O21,'Eingabe Preise'!$M21)</f>
        <v>8528.0704127999998</v>
      </c>
      <c r="T265" s="20" t="s">
        <v>109</v>
      </c>
    </row>
    <row r="266" spans="2:20" ht="15.75" hidden="1" outlineLevel="1" x14ac:dyDescent="0.3">
      <c r="B266" s="302"/>
      <c r="C266" s="17"/>
      <c r="D266" s="17" t="s">
        <v>163</v>
      </c>
      <c r="E266" s="17"/>
      <c r="F266" s="38">
        <f>E236*IF(NOT(ISBLANK('Referenz Pflasterwerk'!$I39)),'Referenz Pflasterwerk'!$I39,'Referenz Pflasterwerk'!$F39)*IF(NOT(ISBLANK('Eingabe EF'!$AS24)),'Eingabe EF'!$AS24,0)*IF(NOT(ISBLANK('Referenz Pflasterwerk'!$I$12)),'Referenz Pflasterwerk'!$I$12,'Referenz Pflasterwerk'!$F$12)</f>
        <v>0</v>
      </c>
      <c r="G266" s="38">
        <f>E236*IF(NOT(ISBLANK('Referenz Pflasterwerk'!$I39)),'Referenz Pflasterwerk'!$I39,'Referenz Pflasterwerk'!$F39)*IF(NOT(ISBLANK('Eingabe EF'!$AW24)),'Eingabe EF'!$AW24,0)*IF(NOT(ISBLANK('Referenz Pflasterwerk'!$I$12)),'Referenz Pflasterwerk'!$I$12,'Referenz Pflasterwerk'!$F$12)</f>
        <v>0</v>
      </c>
      <c r="H266" s="38">
        <f>E236*IF(NOT(ISBLANK('Referenz Pflasterwerk'!$I39)),'Referenz Pflasterwerk'!$I39,'Referenz Pflasterwerk'!$F39)*IF(NOT(ISBLANK('Eingabe EF'!$BA24)),'Eingabe EF'!$BA24,0)*IF(NOT(ISBLANK('Referenz Pflasterwerk'!$I$12)),'Referenz Pflasterwerk'!$I$12,'Referenz Pflasterwerk'!$F$12)</f>
        <v>0</v>
      </c>
      <c r="I266" s="17"/>
      <c r="J266" s="38">
        <f t="shared" si="55"/>
        <v>0</v>
      </c>
      <c r="K266" s="38">
        <f t="shared" si="57"/>
        <v>0</v>
      </c>
      <c r="L266" s="17" t="s">
        <v>199</v>
      </c>
      <c r="N266" s="17"/>
      <c r="O266" s="17" t="s">
        <v>202</v>
      </c>
      <c r="P266" s="17"/>
      <c r="Q266" s="30"/>
      <c r="R266" s="17"/>
      <c r="S266" s="42">
        <f>G305*IF(NOT(ISBLANK('Eingabe Preise'!$O22)),'Eingabe Preise'!$O22,'Eingabe Preise'!$M22)</f>
        <v>8207.0073128147415</v>
      </c>
      <c r="T266" s="20" t="s">
        <v>109</v>
      </c>
    </row>
    <row r="267" spans="2:20" ht="15.75" hidden="1" outlineLevel="1" x14ac:dyDescent="0.3">
      <c r="B267" s="17"/>
      <c r="C267" s="17"/>
      <c r="D267" s="17"/>
      <c r="E267" s="17"/>
      <c r="F267" s="17"/>
      <c r="G267" s="17"/>
      <c r="H267" s="17"/>
      <c r="I267" s="17"/>
      <c r="J267" s="20"/>
      <c r="K267" s="20"/>
      <c r="L267" s="17"/>
      <c r="N267" s="17"/>
      <c r="O267" s="17" t="s">
        <v>203</v>
      </c>
      <c r="P267" s="17"/>
      <c r="Q267" s="30"/>
      <c r="R267" s="17"/>
      <c r="S267" s="42">
        <f>H305*IF(NOT(ISBLANK('Eingabe Preise'!$O23)),'Eingabe Preise'!$O23,'Eingabe Preise'!$M23)</f>
        <v>778027.03832663619</v>
      </c>
      <c r="T267" s="20" t="s">
        <v>109</v>
      </c>
    </row>
    <row r="268" spans="2:20" ht="14.25" hidden="1" outlineLevel="1" x14ac:dyDescent="0.25">
      <c r="B268" s="69"/>
      <c r="C268" s="69" t="s">
        <v>178</v>
      </c>
      <c r="D268" s="70"/>
      <c r="E268" s="70"/>
      <c r="F268" s="71">
        <f>SUM(F269:F271)</f>
        <v>0</v>
      </c>
      <c r="G268" s="71">
        <f t="shared" ref="G268:H268" si="58">SUM(G269:G271)</f>
        <v>0</v>
      </c>
      <c r="H268" s="71">
        <f t="shared" si="58"/>
        <v>387.03000000000003</v>
      </c>
      <c r="I268" s="70"/>
      <c r="J268" s="71">
        <f t="shared" ref="J268" si="59">F268+G268</f>
        <v>0</v>
      </c>
      <c r="K268" s="71">
        <f t="shared" ref="K268" si="60">SUM(F268:H268)</f>
        <v>387.03000000000003</v>
      </c>
      <c r="L268" s="76" t="s">
        <v>198</v>
      </c>
      <c r="N268" s="17"/>
      <c r="O268" s="17"/>
      <c r="P268" s="17"/>
      <c r="Q268" s="17"/>
      <c r="R268" s="17"/>
      <c r="S268" s="17"/>
      <c r="T268" s="17"/>
    </row>
    <row r="269" spans="2:20" ht="15.75" hidden="1" outlineLevel="1" x14ac:dyDescent="0.3">
      <c r="B269" s="17"/>
      <c r="C269" s="17"/>
      <c r="D269" s="17" t="s">
        <v>179</v>
      </c>
      <c r="E269" s="17"/>
      <c r="F269" s="38">
        <f>IF(NOT(ISBLANK('Referenz Pflasterwerk'!$I42)),'Referenz Pflasterwerk'!$I42,'Referenz Pflasterwerk'!$F42)*IF(NOT(ISBLANK('Eingabe EF'!$AS27)),'Eingabe EF'!$AS27,'Eingabe EF'!$AQ27)*IF(NOT(ISBLANK('Referenz Pflasterwerk'!$I$12)),'Referenz Pflasterwerk'!$I$12,'Referenz Pflasterwerk'!$F$12)</f>
        <v>0</v>
      </c>
      <c r="G269" s="38">
        <f>IF(NOT(ISBLANK('Referenz Pflasterwerk'!$I42)),'Referenz Pflasterwerk'!$I42,'Referenz Pflasterwerk'!$F42)*IF(NOT(ISBLANK('Eingabe EF'!$AW27)),'Eingabe EF'!$AW27,'Eingabe EF'!$AU27)*IF(NOT(ISBLANK('Referenz Pflasterwerk'!$I$12)),'Referenz Pflasterwerk'!$I$12,'Referenz Pflasterwerk'!$F$12)</f>
        <v>0</v>
      </c>
      <c r="H269" s="38">
        <f>IF(NOT(ISBLANK('Referenz Pflasterwerk'!$I42)),'Referenz Pflasterwerk'!$I42,'Referenz Pflasterwerk'!$F42)*IF(NOT(ISBLANK('Eingabe EF'!$BA27)),'Eingabe EF'!$BA27,'Eingabe EF'!$AY27)*IF(NOT(ISBLANK('Referenz Pflasterwerk'!$I$12)),'Referenz Pflasterwerk'!$I$12,'Referenz Pflasterwerk'!$F$12)</f>
        <v>387.03000000000003</v>
      </c>
      <c r="I269" s="17"/>
      <c r="J269" s="38">
        <f>F269+G269</f>
        <v>0</v>
      </c>
      <c r="K269" s="38">
        <f>SUM(F269:H269)</f>
        <v>387.03000000000003</v>
      </c>
      <c r="L269" s="17" t="s">
        <v>199</v>
      </c>
      <c r="N269" s="17"/>
      <c r="O269" s="17"/>
      <c r="P269" s="17"/>
      <c r="Q269" s="17"/>
      <c r="R269" s="17"/>
      <c r="S269" s="17"/>
      <c r="T269" s="17"/>
    </row>
    <row r="270" spans="2:20" ht="15.75" hidden="1" outlineLevel="1" x14ac:dyDescent="0.3">
      <c r="B270" s="17"/>
      <c r="C270" s="17"/>
      <c r="D270" s="17" t="s">
        <v>180</v>
      </c>
      <c r="E270" s="17"/>
      <c r="F270" s="38">
        <f>IF(NOT(ISBLANK('Referenz Pflasterwerk'!$I43)),'Referenz Pflasterwerk'!$I43,'Referenz Pflasterwerk'!$F43)*IF(NOT(ISBLANK('Eingabe EF'!$AS28)),'Eingabe EF'!$AS28,0)*IF(NOT(ISBLANK('Referenz Pflasterwerk'!$I$12)),'Referenz Pflasterwerk'!$I$12,'Referenz Pflasterwerk'!$F$12)</f>
        <v>0</v>
      </c>
      <c r="G270" s="38">
        <f>IF(NOT(ISBLANK('Referenz Pflasterwerk'!$I43)),'Referenz Pflasterwerk'!$I43,'Referenz Pflasterwerk'!$F43)*IF(NOT(ISBLANK('Eingabe EF'!$AW28)),'Eingabe EF'!$AW28,0)*IF(NOT(ISBLANK('Referenz Pflasterwerk'!$I$12)),'Referenz Pflasterwerk'!$I$12,'Referenz Pflasterwerk'!$F$12)</f>
        <v>0</v>
      </c>
      <c r="H270" s="38">
        <f>IF(NOT(ISBLANK('Referenz Pflasterwerk'!$I43)),'Referenz Pflasterwerk'!$I43,'Referenz Pflasterwerk'!$F43)*IF(NOT(ISBLANK('Eingabe EF'!$BA28)),'Eingabe EF'!$BA28,0)*IF(NOT(ISBLANK('Referenz Pflasterwerk'!$I$12)),'Referenz Pflasterwerk'!$I$12,'Referenz Pflasterwerk'!$F$12)</f>
        <v>0</v>
      </c>
      <c r="I270" s="17"/>
      <c r="J270" s="38">
        <f>F270+G270</f>
        <v>0</v>
      </c>
      <c r="K270" s="38">
        <f t="shared" ref="K270:K271" si="61">SUM(F270:H270)</f>
        <v>0</v>
      </c>
      <c r="L270" s="17" t="s">
        <v>199</v>
      </c>
      <c r="N270" s="17"/>
      <c r="O270" s="17"/>
      <c r="P270" s="17"/>
      <c r="Q270" s="18"/>
      <c r="R270" s="17"/>
      <c r="S270" s="18"/>
      <c r="T270" s="18"/>
    </row>
    <row r="271" spans="2:20" ht="15.75" hidden="1" outlineLevel="1" x14ac:dyDescent="0.3">
      <c r="B271" s="17"/>
      <c r="C271" s="17"/>
      <c r="D271" s="17" t="s">
        <v>181</v>
      </c>
      <c r="E271" s="17"/>
      <c r="F271" s="38">
        <f>IF(NOT(ISBLANK('Referenz Pflasterwerk'!$I44)),'Referenz Pflasterwerk'!$I44,'Referenz Pflasterwerk'!$F44)*IF(NOT(ISBLANK('Eingabe EF'!$AS29)),'Eingabe EF'!$AS29,0)*IF(NOT(ISBLANK('Referenz Pflasterwerk'!$I$12)),'Referenz Pflasterwerk'!$I$12,'Referenz Pflasterwerk'!$F$12)</f>
        <v>0</v>
      </c>
      <c r="G271" s="38">
        <f>IF(NOT(ISBLANK('Referenz Pflasterwerk'!$I44)),'Referenz Pflasterwerk'!$I44,'Referenz Pflasterwerk'!$F44)*IF(NOT(ISBLANK('Eingabe EF'!$AW29)),'Eingabe EF'!$AW29,0)*IF(NOT(ISBLANK('Referenz Pflasterwerk'!$I$12)),'Referenz Pflasterwerk'!$I$12,'Referenz Pflasterwerk'!$F$12)</f>
        <v>0</v>
      </c>
      <c r="H271" s="38">
        <f>IF(NOT(ISBLANK('Referenz Pflasterwerk'!$I44)),'Referenz Pflasterwerk'!$I44,'Referenz Pflasterwerk'!$F44)*IF(NOT(ISBLANK('Eingabe EF'!$BA29)),'Eingabe EF'!$BA29,0)*IF(NOT(ISBLANK('Referenz Pflasterwerk'!$I$12)),'Referenz Pflasterwerk'!$I$12,'Referenz Pflasterwerk'!$F$12)</f>
        <v>0</v>
      </c>
      <c r="I271" s="17"/>
      <c r="J271" s="38">
        <f t="shared" ref="J271" si="62">F271+G271</f>
        <v>0</v>
      </c>
      <c r="K271" s="38">
        <f t="shared" si="61"/>
        <v>0</v>
      </c>
      <c r="L271" s="17" t="s">
        <v>199</v>
      </c>
      <c r="N271" s="21" t="s">
        <v>224</v>
      </c>
      <c r="O271" s="17"/>
      <c r="P271" s="17"/>
      <c r="Q271" s="17"/>
      <c r="R271" s="17"/>
      <c r="S271" s="17"/>
      <c r="T271" s="17"/>
    </row>
    <row r="272" spans="2:20" hidden="1" outlineLevel="1" x14ac:dyDescent="0.2">
      <c r="B272" s="17"/>
      <c r="C272" s="17"/>
      <c r="D272" s="17"/>
      <c r="E272" s="17"/>
      <c r="F272" s="17"/>
      <c r="G272" s="17"/>
      <c r="H272" s="17"/>
      <c r="I272" s="17"/>
      <c r="J272" s="20"/>
      <c r="K272" s="20"/>
      <c r="L272" s="17"/>
      <c r="N272" s="17"/>
      <c r="O272" s="17" t="s">
        <v>225</v>
      </c>
      <c r="P272" s="17"/>
      <c r="Q272" s="18"/>
      <c r="R272" s="17"/>
      <c r="S272" s="42">
        <f>IF(IF(NOT(ISBLANK($G$35)),$G$35,$E$35)&gt;5,S182,0)</f>
        <v>0</v>
      </c>
      <c r="T272" s="20" t="s">
        <v>109</v>
      </c>
    </row>
    <row r="273" spans="2:20" ht="14.25" hidden="1" outlineLevel="1" x14ac:dyDescent="0.25">
      <c r="B273" s="17"/>
      <c r="C273" s="17"/>
      <c r="D273" s="21" t="s">
        <v>58</v>
      </c>
      <c r="E273" s="21"/>
      <c r="F273" s="74">
        <f>IF(NOT(ISBLANK('Referenz Pflasterwerk'!$I46)),'Referenz Pflasterwerk'!$I46,'Referenz Pflasterwerk'!$F46)*IF(NOT(ISBLANK('Eingabe EF'!$AS31)),'Eingabe EF'!$AS31,'Eingabe EF'!$AQ31)*IF(NOT(ISBLANK('Referenz Pflasterwerk'!$I$12)),'Referenz Pflasterwerk'!$I$12,'Referenz Pflasterwerk'!$F$12)</f>
        <v>0</v>
      </c>
      <c r="G273" s="74">
        <f>IF(NOT(ISBLANK('Referenz Pflasterwerk'!$I46)),'Referenz Pflasterwerk'!$I46,'Referenz Pflasterwerk'!$F46)*IF(NOT(ISBLANK('Eingabe EF'!$AW31)),'Eingabe EF'!$AW31,'Eingabe EF'!$AU31)*IF(NOT(ISBLANK('Referenz Pflasterwerk'!$I$12)),'Referenz Pflasterwerk'!$I$12,'Referenz Pflasterwerk'!$F$12)</f>
        <v>0</v>
      </c>
      <c r="H273" s="74">
        <f>IF(NOT(ISBLANK('Referenz Pflasterwerk'!$I46)),'Referenz Pflasterwerk'!$I46,'Referenz Pflasterwerk'!$F46)*IF(NOT(ISBLANK('Eingabe EF'!$BA31)),'Eingabe EF'!$BA31,'Eingabe EF'!$AY31)*IF(NOT(ISBLANK('Referenz Pflasterwerk'!$I$12)),'Referenz Pflasterwerk'!$I$12,'Referenz Pflasterwerk'!$F$12)</f>
        <v>1040</v>
      </c>
      <c r="I273" s="21"/>
      <c r="J273" s="74">
        <f>F273+G273</f>
        <v>0</v>
      </c>
      <c r="K273" s="74">
        <f t="shared" ref="K273" si="63">SUM(F273:H273)</f>
        <v>1040</v>
      </c>
      <c r="L273" s="21" t="s">
        <v>198</v>
      </c>
      <c r="N273" s="17"/>
      <c r="O273" s="17" t="s">
        <v>226</v>
      </c>
      <c r="P273" s="17"/>
      <c r="Q273" s="17"/>
      <c r="R273" s="17"/>
      <c r="S273" s="42">
        <f>IF(NOT(ISBLANK($K$30)),$K$30,$I$30)/IF(NOT(ISBLANK($K$35)),$K$35,$I$35)+IF(NOT(ISBLANK($K$30)),$K$30,$I$30)*(IF(NOT(ISBLANK($K$36)),$K$36,$I$36)/100)</f>
        <v>0</v>
      </c>
      <c r="T273" s="20" t="s">
        <v>109</v>
      </c>
    </row>
    <row r="274" spans="2:20" hidden="1" outlineLevel="1" x14ac:dyDescent="0.2">
      <c r="B274" s="17"/>
      <c r="C274" s="17"/>
      <c r="D274" s="17"/>
      <c r="E274" s="17"/>
      <c r="F274" s="17"/>
      <c r="G274" s="17"/>
      <c r="H274" s="17"/>
      <c r="I274" s="17"/>
      <c r="J274" s="20"/>
      <c r="K274" s="20"/>
      <c r="L274" s="17"/>
      <c r="N274" s="17"/>
      <c r="O274" s="17"/>
      <c r="P274" s="17"/>
      <c r="Q274" s="18"/>
      <c r="R274" s="17"/>
      <c r="S274" s="18"/>
      <c r="T274" s="18"/>
    </row>
    <row r="275" spans="2:20" ht="14.25" hidden="1" outlineLevel="1" x14ac:dyDescent="0.25">
      <c r="B275" s="69"/>
      <c r="C275" s="69" t="s">
        <v>182</v>
      </c>
      <c r="D275" s="70"/>
      <c r="E275" s="70"/>
      <c r="F275" s="71">
        <f>SUM(F276:F278)</f>
        <v>0</v>
      </c>
      <c r="G275" s="71">
        <f t="shared" ref="G275:H275" si="64">SUM(G276:G278)</f>
        <v>0</v>
      </c>
      <c r="H275" s="71">
        <f t="shared" si="64"/>
        <v>424.19999999999993</v>
      </c>
      <c r="I275" s="70"/>
      <c r="J275" s="71">
        <f t="shared" ref="J275" si="65">F275+G275</f>
        <v>0</v>
      </c>
      <c r="K275" s="71">
        <f t="shared" ref="K275" si="66">SUM(F275:H275)</f>
        <v>424.19999999999993</v>
      </c>
      <c r="L275" s="76" t="s">
        <v>198</v>
      </c>
      <c r="N275" s="17"/>
      <c r="O275" s="17" t="s">
        <v>228</v>
      </c>
      <c r="P275" s="17"/>
      <c r="Q275" s="17"/>
      <c r="R275" s="17"/>
      <c r="S275" s="42">
        <f>IF(IF(NOT(ISBLANK($G$35)),$G$35,$E$35)&gt;5,S184,0)</f>
        <v>0</v>
      </c>
      <c r="T275" s="20" t="s">
        <v>109</v>
      </c>
    </row>
    <row r="276" spans="2:20" ht="15.75" hidden="1" outlineLevel="1" x14ac:dyDescent="0.3">
      <c r="B276" s="17"/>
      <c r="C276" s="17"/>
      <c r="D276" s="17" t="s">
        <v>60</v>
      </c>
      <c r="E276" s="17"/>
      <c r="F276" s="38">
        <f>IF(NOT(ISBLANK('Referenz Pflasterwerk'!$I49)),'Referenz Pflasterwerk'!$I49,'Referenz Pflasterwerk'!$F49)*IF(NOT(ISBLANK('Eingabe EF'!$AS34)),'Eingabe EF'!$AS34,'Eingabe EF'!$AQ34)*IF(NOT(ISBLANK('Referenz Pflasterwerk'!$I$12)),'Referenz Pflasterwerk'!$I$12,'Referenz Pflasterwerk'!$F$12)</f>
        <v>0</v>
      </c>
      <c r="G276" s="38">
        <f>IF(NOT(ISBLANK('Referenz Pflasterwerk'!$I49)),'Referenz Pflasterwerk'!$I49,'Referenz Pflasterwerk'!$F49)*IF(NOT(ISBLANK('Eingabe EF'!$AW34)),'Eingabe EF'!$AW34,'Eingabe EF'!$AU34)*IF(NOT(ISBLANK('Referenz Pflasterwerk'!$I$12)),'Referenz Pflasterwerk'!$I$12,'Referenz Pflasterwerk'!$F$12)</f>
        <v>0</v>
      </c>
      <c r="H276" s="38">
        <f>IF(NOT(ISBLANK('Referenz Pflasterwerk'!$I49)),'Referenz Pflasterwerk'!$I49,'Referenz Pflasterwerk'!$F49)*IF(NOT(ISBLANK('Eingabe EF'!$BA34)),'Eingabe EF'!$BA34,'Eingabe EF'!$AY34)*IF(NOT(ISBLANK('Referenz Pflasterwerk'!$I$12)),'Referenz Pflasterwerk'!$I$12,'Referenz Pflasterwerk'!$F$12)</f>
        <v>356.4</v>
      </c>
      <c r="I276" s="17"/>
      <c r="J276" s="38">
        <f>F276+G276</f>
        <v>0</v>
      </c>
      <c r="K276" s="38">
        <f>SUM(F276:H276)</f>
        <v>356.4</v>
      </c>
      <c r="L276" s="17" t="s">
        <v>199</v>
      </c>
      <c r="N276" s="17"/>
      <c r="O276" s="17" t="s">
        <v>229</v>
      </c>
      <c r="P276" s="17"/>
      <c r="Q276" s="18"/>
      <c r="R276" s="17"/>
      <c r="S276" s="42">
        <f>IF(NOT(ISBLANK($K$32)),$K$32,$I$32)/IF(NOT(ISBLANK($K$35)),$K$35,$I$35)+IF(NOT(ISBLANK($K$32)),$K$32,$I$32)*(IF(NOT(ISBLANK($K$36)),$K$36,$I$36)/100)</f>
        <v>0</v>
      </c>
      <c r="T276" s="20" t="s">
        <v>109</v>
      </c>
    </row>
    <row r="277" spans="2:20" ht="15.75" hidden="1" outlineLevel="1" x14ac:dyDescent="0.3">
      <c r="B277" s="302"/>
      <c r="C277" s="17"/>
      <c r="D277" s="17" t="s">
        <v>61</v>
      </c>
      <c r="E277" s="17"/>
      <c r="F277" s="38">
        <f>IF(NOT(ISBLANK('Referenz Pflasterwerk'!$I50)),'Referenz Pflasterwerk'!$I50,'Referenz Pflasterwerk'!$F50)*IF(NOT(ISBLANK('Eingabe EF'!$AS35)),'Eingabe EF'!$AS35,'Eingabe EF'!$AQ35)*IF(NOT(ISBLANK('Referenz Pflasterwerk'!$I$12)),'Referenz Pflasterwerk'!$I$12,'Referenz Pflasterwerk'!$F$12)</f>
        <v>0</v>
      </c>
      <c r="G277" s="38">
        <f>IF(NOT(ISBLANK('Referenz Pflasterwerk'!$I50)),'Referenz Pflasterwerk'!$I50,'Referenz Pflasterwerk'!$F50)*IF(NOT(ISBLANK('Eingabe EF'!$AW35)),'Eingabe EF'!$AW35,'Eingabe EF'!$AU35)*IF(NOT(ISBLANK('Referenz Pflasterwerk'!$I$12)),'Referenz Pflasterwerk'!$I$12,'Referenz Pflasterwerk'!$F$12)</f>
        <v>0</v>
      </c>
      <c r="H277" s="38">
        <f>IF(NOT(ISBLANK('Referenz Pflasterwerk'!$I50)),'Referenz Pflasterwerk'!$I50,'Referenz Pflasterwerk'!$F50)*IF(NOT(ISBLANK('Eingabe EF'!$BA35)),'Eingabe EF'!$BA35,'Eingabe EF'!$AY35)*IF(NOT(ISBLANK('Referenz Pflasterwerk'!$I$12)),'Referenz Pflasterwerk'!$I$12,'Referenz Pflasterwerk'!$F$12)</f>
        <v>0</v>
      </c>
      <c r="I277" s="17"/>
      <c r="J277" s="38">
        <f>F277+G277</f>
        <v>0</v>
      </c>
      <c r="K277" s="38">
        <f>SUM(F277:H277)</f>
        <v>0</v>
      </c>
      <c r="L277" s="17" t="s">
        <v>199</v>
      </c>
      <c r="N277" s="17"/>
      <c r="O277" s="17"/>
      <c r="P277" s="17"/>
      <c r="Q277" s="18"/>
      <c r="R277" s="17"/>
      <c r="S277" s="18"/>
      <c r="T277" s="18"/>
    </row>
    <row r="278" spans="2:20" ht="15.75" hidden="1" outlineLevel="1" x14ac:dyDescent="0.3">
      <c r="B278" s="302"/>
      <c r="C278" s="17"/>
      <c r="D278" s="17" t="s">
        <v>62</v>
      </c>
      <c r="E278" s="17"/>
      <c r="F278" s="38">
        <f>IF(NOT(ISBLANK('Referenz Pflasterwerk'!$I51)),'Referenz Pflasterwerk'!$I51,'Referenz Pflasterwerk'!$F51)*IF(NOT(ISBLANK('Eingabe EF'!$AS36)),'Eingabe EF'!$AS36,'Eingabe EF'!$AQ36)*IF(NOT(ISBLANK('Referenz Pflasterwerk'!$I$12)),'Referenz Pflasterwerk'!$I$12,'Referenz Pflasterwerk'!$F$12)</f>
        <v>0</v>
      </c>
      <c r="G278" s="38">
        <f>IF(NOT(ISBLANK('Referenz Pflasterwerk'!$I51)),'Referenz Pflasterwerk'!$I51,'Referenz Pflasterwerk'!$F51)*IF(NOT(ISBLANK('Eingabe EF'!$AW36)),'Eingabe EF'!$AW36,'Eingabe EF'!$AU36)*IF(NOT(ISBLANK('Referenz Pflasterwerk'!$I$12)),'Referenz Pflasterwerk'!$I$12,'Referenz Pflasterwerk'!$F$12)</f>
        <v>0</v>
      </c>
      <c r="H278" s="38">
        <f>IF(NOT(ISBLANK('Referenz Pflasterwerk'!$I51)),'Referenz Pflasterwerk'!$I51,'Referenz Pflasterwerk'!$F51)*IF(NOT(ISBLANK('Eingabe EF'!$BA36)),'Eingabe EF'!$BA36,'Eingabe EF'!$AY36)*IF(NOT(ISBLANK('Referenz Pflasterwerk'!$I$12)),'Referenz Pflasterwerk'!$I$12,'Referenz Pflasterwerk'!$F$12)</f>
        <v>67.799999999999983</v>
      </c>
      <c r="I278" s="17"/>
      <c r="J278" s="38">
        <f>F278+G278</f>
        <v>0</v>
      </c>
      <c r="K278" s="38">
        <f>SUM(F278:H278)</f>
        <v>67.799999999999983</v>
      </c>
      <c r="L278" s="17" t="s">
        <v>199</v>
      </c>
      <c r="N278" s="17"/>
      <c r="O278" s="17"/>
      <c r="P278" s="17"/>
      <c r="Q278" s="17"/>
      <c r="R278" s="17"/>
      <c r="S278" s="17"/>
      <c r="T278" s="17"/>
    </row>
    <row r="279" spans="2:20" hidden="1" outlineLevel="1" x14ac:dyDescent="0.2">
      <c r="B279" s="17"/>
      <c r="C279" s="17"/>
      <c r="D279" s="17"/>
      <c r="E279" s="17"/>
      <c r="F279" s="17"/>
      <c r="G279" s="17"/>
      <c r="H279" s="17"/>
      <c r="I279" s="17"/>
      <c r="J279" s="17"/>
      <c r="K279" s="20"/>
      <c r="L279" s="20"/>
      <c r="N279" s="17"/>
      <c r="O279" s="17"/>
      <c r="P279" s="17"/>
      <c r="Q279" s="18"/>
      <c r="R279" s="17"/>
      <c r="S279" s="18"/>
      <c r="T279" s="18"/>
    </row>
    <row r="280" spans="2:20" ht="14.25" hidden="1" outlineLevel="1" x14ac:dyDescent="0.25">
      <c r="B280" s="69"/>
      <c r="C280" s="69" t="s">
        <v>52</v>
      </c>
      <c r="D280" s="70"/>
      <c r="E280" s="70"/>
      <c r="F280" s="71">
        <f>SUM(F281:F284)</f>
        <v>0</v>
      </c>
      <c r="G280" s="71">
        <f t="shared" ref="G280:H280" si="67">SUM(G281:G284)</f>
        <v>0</v>
      </c>
      <c r="H280" s="71">
        <f t="shared" si="67"/>
        <v>185.55932668689491</v>
      </c>
      <c r="I280" s="70"/>
      <c r="J280" s="71">
        <f t="shared" ref="J280:J284" si="68">F280+G280</f>
        <v>0</v>
      </c>
      <c r="K280" s="71">
        <f t="shared" ref="K280" si="69">SUM(F280:H280)</f>
        <v>185.55932668689491</v>
      </c>
      <c r="L280" s="76" t="s">
        <v>198</v>
      </c>
    </row>
    <row r="281" spans="2:20" ht="15.75" hidden="1" outlineLevel="1" x14ac:dyDescent="0.3">
      <c r="B281" s="17"/>
      <c r="C281" s="17"/>
      <c r="D281" s="17" t="s">
        <v>53</v>
      </c>
      <c r="E281" s="17"/>
      <c r="F281" s="38">
        <f>IF(NOT(ISBLANK('Referenz Pflasterwerk'!$I$53)),'Referenz Pflasterwerk'!$I$53,'Referenz Pflasterwerk'!$F$53)*IF(NOT(ISBLANK('Referenz Pflasterwerk'!$I54)),'Referenz Pflasterwerk'!$I54,'Referenz Pflasterwerk'!$F54)*IF(NOT(ISBLANK('Eingabe EF'!$AS39)),'Eingabe EF'!$AS39,'Eingabe EF'!$AQ39)*IF(NOT(ISBLANK('Referenz Pflasterwerk'!$I$12)),'Referenz Pflasterwerk'!$I$12,'Referenz Pflasterwerk'!$F$12)</f>
        <v>0</v>
      </c>
      <c r="G281" s="38">
        <f>IF(NOT(ISBLANK('Referenz Pflasterwerk'!$I$53)),'Referenz Pflasterwerk'!$I$53,'Referenz Pflasterwerk'!$F$53)*IF(NOT(ISBLANK('Referenz Pflasterwerk'!$I54)),'Referenz Pflasterwerk'!$I54,'Referenz Pflasterwerk'!$F54)*IF(NOT(ISBLANK('Eingabe EF'!$AW39)),'Eingabe EF'!$AW39,'Eingabe EF'!$AU39)*IF(NOT(ISBLANK('Referenz Pflasterwerk'!$I$12)),'Referenz Pflasterwerk'!$I$12,'Referenz Pflasterwerk'!$F$12)</f>
        <v>0</v>
      </c>
      <c r="H281" s="38">
        <f>IF(NOT(ISBLANK('Referenz Pflasterwerk'!$I$53)),'Referenz Pflasterwerk'!$I$53,'Referenz Pflasterwerk'!$F$53)*IF(NOT(ISBLANK('Referenz Pflasterwerk'!$I54)),'Referenz Pflasterwerk'!$I54,'Referenz Pflasterwerk'!$F54)*IF(NOT(ISBLANK('Eingabe EF'!$BA39)),'Eingabe EF'!$BA39,'Eingabe EF'!$AY39)*IF(NOT(ISBLANK('Referenz Pflasterwerk'!$I$12)),'Referenz Pflasterwerk'!$I$12,'Referenz Pflasterwerk'!$F$12)</f>
        <v>59.997399219765924</v>
      </c>
      <c r="I281" s="17"/>
      <c r="J281" s="38">
        <f t="shared" si="68"/>
        <v>0</v>
      </c>
      <c r="K281" s="38">
        <f t="shared" ref="K281:K284" si="70">SUM(F281:H281)</f>
        <v>59.997399219765924</v>
      </c>
      <c r="L281" s="17" t="s">
        <v>199</v>
      </c>
    </row>
    <row r="282" spans="2:20" ht="15.75" hidden="1" outlineLevel="1" x14ac:dyDescent="0.3">
      <c r="B282" s="17"/>
      <c r="C282" s="17"/>
      <c r="D282" s="17" t="s">
        <v>55</v>
      </c>
      <c r="E282" s="17"/>
      <c r="F282" s="38">
        <f>IF(NOT(ISBLANK('Referenz Pflasterwerk'!$I$53)),'Referenz Pflasterwerk'!$I$53,'Referenz Pflasterwerk'!$F$53)*IF(NOT(ISBLANK('Referenz Pflasterwerk'!$I55)),'Referenz Pflasterwerk'!$I55,'Referenz Pflasterwerk'!$F55)*IF(NOT(ISBLANK('Eingabe EF'!$AS40)),'Eingabe EF'!$AS40,'Eingabe EF'!$AQ40)*IF(NOT(ISBLANK('Referenz Pflasterwerk'!$I$12)),'Referenz Pflasterwerk'!$I$12,'Referenz Pflasterwerk'!$F$12)</f>
        <v>0</v>
      </c>
      <c r="G282" s="38">
        <f>IF(NOT(ISBLANK('Referenz Pflasterwerk'!$I$53)),'Referenz Pflasterwerk'!$I$53,'Referenz Pflasterwerk'!$F$53)*IF(NOT(ISBLANK('Referenz Pflasterwerk'!$I55)),'Referenz Pflasterwerk'!$I55,'Referenz Pflasterwerk'!$F55)*IF(NOT(ISBLANK('Eingabe EF'!$AW40)),'Eingabe EF'!$AW40,'Eingabe EF'!$AU40)*IF(NOT(ISBLANK('Referenz Pflasterwerk'!$I$12)),'Referenz Pflasterwerk'!$I$12,'Referenz Pflasterwerk'!$F$12)</f>
        <v>0</v>
      </c>
      <c r="H282" s="38">
        <f>IF(NOT(ISBLANK('Referenz Pflasterwerk'!$I$53)),'Referenz Pflasterwerk'!$I$53,'Referenz Pflasterwerk'!$F$53)*IF(NOT(ISBLANK('Referenz Pflasterwerk'!$I55)),'Referenz Pflasterwerk'!$I55,'Referenz Pflasterwerk'!$F55)*IF(NOT(ISBLANK('Eingabe EF'!$BA40)),'Eingabe EF'!$BA40,'Eingabe EF'!$AY40)*IF(NOT(ISBLANK('Referenz Pflasterwerk'!$I$12)),'Referenz Pflasterwerk'!$I$12,'Referenz Pflasterwerk'!$F$12)</f>
        <v>7.224692963444574</v>
      </c>
      <c r="I282" s="17"/>
      <c r="J282" s="38">
        <f t="shared" si="68"/>
        <v>0</v>
      </c>
      <c r="K282" s="38">
        <f t="shared" si="70"/>
        <v>7.224692963444574</v>
      </c>
      <c r="L282" s="17" t="s">
        <v>199</v>
      </c>
    </row>
    <row r="283" spans="2:20" ht="15.75" hidden="1" outlineLevel="1" x14ac:dyDescent="0.3">
      <c r="B283" s="17"/>
      <c r="C283" s="17"/>
      <c r="D283" s="17" t="s">
        <v>56</v>
      </c>
      <c r="E283" s="17"/>
      <c r="F283" s="38">
        <f>IF(NOT(ISBLANK('Referenz Pflasterwerk'!$I$53)),'Referenz Pflasterwerk'!$I$53,'Referenz Pflasterwerk'!$F$53)*IF(NOT(ISBLANK('Referenz Pflasterwerk'!$I56)),'Referenz Pflasterwerk'!$I56,'Referenz Pflasterwerk'!$F56)*IF(NOT(ISBLANK('Eingabe EF'!$AS41)),'Eingabe EF'!$AS41,'Eingabe EF'!$AQ41)*IF(NOT(ISBLANK('Referenz Pflasterwerk'!$I$12)),'Referenz Pflasterwerk'!$I$12,'Referenz Pflasterwerk'!$F$12)</f>
        <v>0</v>
      </c>
      <c r="G283" s="38">
        <f>IF(NOT(ISBLANK('Referenz Pflasterwerk'!$I$53)),'Referenz Pflasterwerk'!$I$53,'Referenz Pflasterwerk'!$F$53)*IF(NOT(ISBLANK('Referenz Pflasterwerk'!$I56)),'Referenz Pflasterwerk'!$I56,'Referenz Pflasterwerk'!$F56)*IF(NOT(ISBLANK('Eingabe EF'!$AW41)),'Eingabe EF'!$AW41,'Eingabe EF'!$AU41)*IF(NOT(ISBLANK('Referenz Pflasterwerk'!$I$12)),'Referenz Pflasterwerk'!$I$12,'Referenz Pflasterwerk'!$F$12)</f>
        <v>0</v>
      </c>
      <c r="H283" s="38">
        <f>IF(NOT(ISBLANK('Referenz Pflasterwerk'!$I$53)),'Referenz Pflasterwerk'!$I$53,'Referenz Pflasterwerk'!$F$53)*IF(NOT(ISBLANK('Referenz Pflasterwerk'!$I56)),'Referenz Pflasterwerk'!$I56,'Referenz Pflasterwerk'!$F56)*IF(NOT(ISBLANK('Eingabe EF'!$BA41)),'Eingabe EF'!$BA41,'Eingabe EF'!$AY41)*IF(NOT(ISBLANK('Referenz Pflasterwerk'!$I$12)),'Referenz Pflasterwerk'!$I$12,'Referenz Pflasterwerk'!$F$12)</f>
        <v>1.7771998266146515E-2</v>
      </c>
      <c r="I283" s="17"/>
      <c r="J283" s="38">
        <f t="shared" si="68"/>
        <v>0</v>
      </c>
      <c r="K283" s="38">
        <f t="shared" si="70"/>
        <v>1.7771998266146515E-2</v>
      </c>
      <c r="L283" s="17" t="s">
        <v>199</v>
      </c>
    </row>
    <row r="284" spans="2:20" ht="15.75" hidden="1" outlineLevel="1" x14ac:dyDescent="0.3">
      <c r="B284" s="17"/>
      <c r="C284" s="17"/>
      <c r="D284" s="17" t="s">
        <v>57</v>
      </c>
      <c r="E284" s="17"/>
      <c r="F284" s="38">
        <f>IF(NOT(ISBLANK('Referenz Pflasterwerk'!$I$53)),'Referenz Pflasterwerk'!$I$53,'Referenz Pflasterwerk'!$F$53)*IF(NOT(ISBLANK('Referenz Pflasterwerk'!$I57)),'Referenz Pflasterwerk'!$I57,'Referenz Pflasterwerk'!$F57)*IF(NOT(ISBLANK('Eingabe EF'!$AS42)),'Eingabe EF'!$AS42,'Eingabe EF'!$AQ42)*IF(NOT(ISBLANK('Referenz Pflasterwerk'!$I$12)),'Referenz Pflasterwerk'!$I$12,'Referenz Pflasterwerk'!$F$12)</f>
        <v>0</v>
      </c>
      <c r="G284" s="38">
        <f>IF(NOT(ISBLANK('Referenz Pflasterwerk'!$I$53)),'Referenz Pflasterwerk'!$I$53,'Referenz Pflasterwerk'!$F$53)*IF(NOT(ISBLANK('Referenz Pflasterwerk'!$I57)),'Referenz Pflasterwerk'!$I57,'Referenz Pflasterwerk'!$F57)*IF(NOT(ISBLANK('Eingabe EF'!$AW42)),'Eingabe EF'!$AW42,'Eingabe EF'!$AU42)*IF(NOT(ISBLANK('Referenz Pflasterwerk'!$I$12)),'Referenz Pflasterwerk'!$I$12,'Referenz Pflasterwerk'!$F$12)</f>
        <v>0</v>
      </c>
      <c r="H284" s="38">
        <f>IF(NOT(ISBLANK('Referenz Pflasterwerk'!$I$53)),'Referenz Pflasterwerk'!$I$53,'Referenz Pflasterwerk'!$F$53)*IF(NOT(ISBLANK('Referenz Pflasterwerk'!$I57)),'Referenz Pflasterwerk'!$I57,'Referenz Pflasterwerk'!$F57)*IF(NOT(ISBLANK('Eingabe EF'!$BA42)),'Eingabe EF'!$BA42,'Eingabe EF'!$AY42)*IF(NOT(ISBLANK('Referenz Pflasterwerk'!$I$12)),'Referenz Pflasterwerk'!$I$12,'Referenz Pflasterwerk'!$F$12)</f>
        <v>118.31946250541829</v>
      </c>
      <c r="I284" s="17"/>
      <c r="J284" s="38">
        <f t="shared" si="68"/>
        <v>0</v>
      </c>
      <c r="K284" s="38">
        <f t="shared" si="70"/>
        <v>118.31946250541829</v>
      </c>
      <c r="L284" s="17" t="s">
        <v>199</v>
      </c>
    </row>
    <row r="285" spans="2:20" hidden="1" outlineLevel="1" x14ac:dyDescent="0.2">
      <c r="B285" s="17"/>
      <c r="C285" s="17"/>
      <c r="D285" s="17"/>
      <c r="E285" s="17"/>
      <c r="F285" s="17"/>
      <c r="G285" s="17"/>
      <c r="H285" s="17"/>
      <c r="I285" s="17"/>
      <c r="J285" s="17"/>
      <c r="K285" s="17"/>
      <c r="L285" s="20"/>
    </row>
    <row r="286" spans="2:20" ht="14.25" hidden="1" outlineLevel="1" x14ac:dyDescent="0.25">
      <c r="B286" s="69"/>
      <c r="C286" s="69" t="s">
        <v>272</v>
      </c>
      <c r="D286" s="70"/>
      <c r="E286" s="70"/>
      <c r="F286" s="71">
        <f>SUM(F287:F288)</f>
        <v>0</v>
      </c>
      <c r="G286" s="71">
        <f t="shared" ref="G286" si="71">SUM(G287:G288)</f>
        <v>0</v>
      </c>
      <c r="H286" s="71">
        <f>SUM(H287:H288)</f>
        <v>0</v>
      </c>
      <c r="I286" s="70"/>
      <c r="J286" s="71">
        <f>F286+G286</f>
        <v>0</v>
      </c>
      <c r="K286" s="71">
        <f t="shared" ref="K286" si="72">SUM(F286:H286)</f>
        <v>0</v>
      </c>
      <c r="L286" s="76" t="s">
        <v>198</v>
      </c>
    </row>
    <row r="287" spans="2:20" ht="15.75" hidden="1" outlineLevel="1" x14ac:dyDescent="0.3">
      <c r="B287" s="302"/>
      <c r="C287" s="17"/>
      <c r="D287" s="17" t="s">
        <v>268</v>
      </c>
      <c r="E287" s="17"/>
      <c r="F287" s="38">
        <v>0</v>
      </c>
      <c r="G287" s="38">
        <v>0</v>
      </c>
      <c r="H287" s="38">
        <f>IF(NOT(ISBLANK(K23)),K23,I23)*IF(NOT(ISBLANK(K26)),K26,0)</f>
        <v>0</v>
      </c>
      <c r="I287" s="17"/>
      <c r="J287" s="38">
        <f t="shared" ref="J287:J288" si="73">F287+G287</f>
        <v>0</v>
      </c>
      <c r="K287" s="38">
        <f t="shared" ref="K287:K288" si="74">SUM(F287:H287)</f>
        <v>0</v>
      </c>
      <c r="L287" s="17" t="s">
        <v>199</v>
      </c>
    </row>
    <row r="288" spans="2:20" ht="15.75" hidden="1" outlineLevel="1" x14ac:dyDescent="0.3">
      <c r="B288" s="302"/>
      <c r="C288" s="17"/>
      <c r="D288" s="17" t="s">
        <v>269</v>
      </c>
      <c r="E288" s="17"/>
      <c r="F288" s="38">
        <v>0</v>
      </c>
      <c r="G288" s="38">
        <v>0</v>
      </c>
      <c r="H288" s="38">
        <f>IF(NOT(ISBLANK(K24)),K24,I24)*IF(NOT(ISBLANK(K27)),K27,0)</f>
        <v>0</v>
      </c>
      <c r="I288" s="17"/>
      <c r="J288" s="38">
        <f t="shared" si="73"/>
        <v>0</v>
      </c>
      <c r="K288" s="38">
        <f t="shared" si="74"/>
        <v>0</v>
      </c>
      <c r="L288" s="17" t="s">
        <v>199</v>
      </c>
    </row>
    <row r="289" spans="2:12" hidden="1" outlineLevel="1" x14ac:dyDescent="0.2">
      <c r="B289" s="17"/>
      <c r="C289" s="17"/>
      <c r="D289" s="17"/>
      <c r="E289" s="17"/>
      <c r="F289" s="17"/>
      <c r="G289" s="17"/>
      <c r="H289" s="17"/>
      <c r="I289" s="17"/>
      <c r="J289" s="17"/>
      <c r="K289" s="17"/>
      <c r="L289" s="20"/>
    </row>
    <row r="290" spans="2:12" ht="14.25" hidden="1" outlineLevel="1" x14ac:dyDescent="0.25">
      <c r="B290" s="17"/>
      <c r="C290" s="17"/>
      <c r="D290" s="21" t="s">
        <v>113</v>
      </c>
      <c r="E290" s="21"/>
      <c r="F290" s="74">
        <f>IF(NOT(ISBLANK('Referenz Pflasterwerk'!$I59)),'Referenz Pflasterwerk'!$I59,'Referenz Pflasterwerk'!$F59)*IF(NOT(ISBLANK('Eingabe EF'!$AS44)),'Eingabe EF'!$AS44,0)*IF(NOT(ISBLANK('Referenz Pflasterwerk'!$I$12)),'Referenz Pflasterwerk'!$I$12,'Referenz Pflasterwerk'!$F$12)</f>
        <v>0</v>
      </c>
      <c r="G290" s="74">
        <f>IF(NOT(ISBLANK('Referenz Pflasterwerk'!$I59)),'Referenz Pflasterwerk'!$I59,'Referenz Pflasterwerk'!$F59)*IF(NOT(ISBLANK('Eingabe EF'!$AW44)),'Eingabe EF'!$AW44,0)*IF(NOT(ISBLANK('Referenz Pflasterwerk'!$I$12)),'Referenz Pflasterwerk'!$I$12,'Referenz Pflasterwerk'!$F$12)</f>
        <v>0</v>
      </c>
      <c r="H290" s="74">
        <f>IF(NOT(ISBLANK('Referenz Pflasterwerk'!$I59)),'Referenz Pflasterwerk'!$I59,'Referenz Pflasterwerk'!$F59)*IF(NOT(ISBLANK('Eingabe EF'!$BA44)),'Eingabe EF'!$BA44,0)*IF(NOT(ISBLANK('Referenz Pflasterwerk'!$I$12)),'Referenz Pflasterwerk'!$I$12,'Referenz Pflasterwerk'!$F$12)</f>
        <v>0</v>
      </c>
      <c r="I290" s="21"/>
      <c r="J290" s="74">
        <f>F290+G290</f>
        <v>0</v>
      </c>
      <c r="K290" s="74">
        <f>SUM(F290:H290)</f>
        <v>0</v>
      </c>
      <c r="L290" s="21" t="s">
        <v>198</v>
      </c>
    </row>
    <row r="291" spans="2:12" ht="14.25" hidden="1" outlineLevel="1" x14ac:dyDescent="0.25">
      <c r="B291" s="17"/>
      <c r="C291" s="17"/>
      <c r="D291" s="21" t="s">
        <v>65</v>
      </c>
      <c r="E291" s="21"/>
      <c r="F291" s="75">
        <f>IF(NOT(ISBLANK('Referenz Pflasterwerk'!$I60)),'Referenz Pflasterwerk'!$I60,'Referenz Pflasterwerk'!$F60)*IF(NOT(ISBLANK('Eingabe EF'!$AS45)),'Eingabe EF'!$AS45,'Eingabe EF'!$AQ45)</f>
        <v>0</v>
      </c>
      <c r="G291" s="75">
        <f>IF(NOT(ISBLANK('Referenz Pflasterwerk'!$I60)),'Referenz Pflasterwerk'!$I60,'Referenz Pflasterwerk'!$F60)*IF(NOT(ISBLANK('Eingabe EF'!$AW45)),'Eingabe EF'!$AW45,'Eingabe EF'!$AU45)</f>
        <v>0</v>
      </c>
      <c r="H291" s="75">
        <f>IF(NOT(ISBLANK('Referenz Pflasterwerk'!$I60)),'Referenz Pflasterwerk'!$I60,'Referenz Pflasterwerk'!$F60)*IF(NOT(ISBLANK('Eingabe EF'!$BA45)),'Eingabe EF'!$BA45,'Eingabe EF'!$AY45)</f>
        <v>5.4399999999999997E-2</v>
      </c>
      <c r="I291" s="21"/>
      <c r="J291" s="74">
        <f>F291+G291</f>
        <v>0</v>
      </c>
      <c r="K291" s="74">
        <f>SUM(F291:H291)</f>
        <v>5.4399999999999997E-2</v>
      </c>
      <c r="L291" s="21" t="s">
        <v>198</v>
      </c>
    </row>
    <row r="292" spans="2:12" hidden="1" outlineLevel="1" x14ac:dyDescent="0.2">
      <c r="B292" s="17"/>
      <c r="C292" s="17"/>
      <c r="D292" s="17"/>
      <c r="E292" s="17"/>
      <c r="F292" s="17"/>
      <c r="G292" s="17"/>
      <c r="H292" s="17"/>
      <c r="I292" s="17"/>
      <c r="J292" s="17"/>
      <c r="K292" s="17"/>
      <c r="L292" s="20"/>
    </row>
    <row r="293" spans="2:12" ht="14.25" hidden="1" outlineLevel="1" x14ac:dyDescent="0.25">
      <c r="B293" s="69"/>
      <c r="C293" s="69" t="s">
        <v>183</v>
      </c>
      <c r="D293" s="70"/>
      <c r="E293" s="70"/>
      <c r="F293" s="71">
        <f>SUM(F294:F296)</f>
        <v>0</v>
      </c>
      <c r="G293" s="71">
        <f t="shared" ref="G293:H293" si="75">SUM(G294:G296)</f>
        <v>0</v>
      </c>
      <c r="H293" s="71">
        <f t="shared" si="75"/>
        <v>0</v>
      </c>
      <c r="I293" s="70"/>
      <c r="J293" s="71">
        <f t="shared" ref="J293" si="76">F293+G293</f>
        <v>0</v>
      </c>
      <c r="K293" s="71">
        <f t="shared" ref="K293" si="77">SUM(F293:H293)</f>
        <v>0</v>
      </c>
      <c r="L293" s="76" t="s">
        <v>198</v>
      </c>
    </row>
    <row r="294" spans="2:12" ht="15.75" hidden="1" outlineLevel="1" x14ac:dyDescent="0.3">
      <c r="B294" s="17"/>
      <c r="C294" s="17"/>
      <c r="D294" s="17" t="s">
        <v>184</v>
      </c>
      <c r="E294" s="17"/>
      <c r="F294" s="38">
        <f>IF(NOT(ISBLANK('Referenz Pflasterwerk'!$I63)),'Referenz Pflasterwerk'!$I63,'Referenz Pflasterwerk'!$F63)*IF(NOT(ISBLANK('Eingabe EF'!$AS48)),'Eingabe EF'!$AS48,0)*IF(NOT(ISBLANK('Referenz Pflasterwerk'!$I$12)),'Referenz Pflasterwerk'!$I$12,'Referenz Pflasterwerk'!$F$12)</f>
        <v>0</v>
      </c>
      <c r="G294" s="38">
        <f>IF(NOT(ISBLANK('Referenz Pflasterwerk'!$I63)),'Referenz Pflasterwerk'!$I63,'Referenz Pflasterwerk'!$F63)*IF(NOT(ISBLANK('Eingabe EF'!$AW48)),'Eingabe EF'!$AW48,0)*IF(NOT(ISBLANK('Referenz Pflasterwerk'!$I$12)),'Referenz Pflasterwerk'!$I$12,'Referenz Pflasterwerk'!$F$12)</f>
        <v>0</v>
      </c>
      <c r="H294" s="38">
        <f>IF(NOT(ISBLANK('Referenz Pflasterwerk'!$I63)),'Referenz Pflasterwerk'!$I63,'Referenz Pflasterwerk'!$F63)*IF(NOT(ISBLANK('Eingabe EF'!$BA48)),'Eingabe EF'!$BA48,0)*IF(NOT(ISBLANK('Referenz Pflasterwerk'!$I$12)),'Referenz Pflasterwerk'!$I$12,'Referenz Pflasterwerk'!$F$12)</f>
        <v>0</v>
      </c>
      <c r="I294" s="17"/>
      <c r="J294" s="38">
        <f>F294+G294</f>
        <v>0</v>
      </c>
      <c r="K294" s="38">
        <f>SUM(F294:H294)</f>
        <v>0</v>
      </c>
      <c r="L294" s="17" t="s">
        <v>199</v>
      </c>
    </row>
    <row r="295" spans="2:12" ht="15.75" hidden="1" outlineLevel="1" x14ac:dyDescent="0.3">
      <c r="B295" s="17"/>
      <c r="C295" s="17"/>
      <c r="D295" s="17" t="s">
        <v>63</v>
      </c>
      <c r="E295" s="17"/>
      <c r="F295" s="38">
        <f>IF(NOT(ISBLANK('Referenz Pflasterwerk'!$I64)),'Referenz Pflasterwerk'!$I64,'Referenz Pflasterwerk'!$F64)*IF(NOT(ISBLANK('Eingabe EF'!$AS49)),'Eingabe EF'!$AS49,'Eingabe EF'!$AQ49)*IF(NOT(ISBLANK('Referenz Pflasterwerk'!$I$12)),'Referenz Pflasterwerk'!$I$12,'Referenz Pflasterwerk'!$F$12)</f>
        <v>0</v>
      </c>
      <c r="G295" s="38">
        <f>IF(NOT(ISBLANK('Referenz Pflasterwerk'!$I64)),'Referenz Pflasterwerk'!$I64,'Referenz Pflasterwerk'!$F64)*IF(NOT(ISBLANK('Eingabe EF'!$AW49)),'Eingabe EF'!$AW49,'Eingabe EF'!$AU49)*IF(NOT(ISBLANK('Referenz Pflasterwerk'!$I$12)),'Referenz Pflasterwerk'!$I$12,'Referenz Pflasterwerk'!$F$12)</f>
        <v>0</v>
      </c>
      <c r="H295" s="38">
        <f>IF(NOT(ISBLANK('Referenz Pflasterwerk'!$I64)),'Referenz Pflasterwerk'!$I64,'Referenz Pflasterwerk'!$F64)*IF(NOT(ISBLANK('Eingabe EF'!$BA49)),'Eingabe EF'!$BA49,'Eingabe EF'!$AY49)*IF(NOT(ISBLANK('Referenz Pflasterwerk'!$I$12)),'Referenz Pflasterwerk'!$I$12,'Referenz Pflasterwerk'!$F$12)</f>
        <v>0</v>
      </c>
      <c r="I295" s="17"/>
      <c r="J295" s="38">
        <f t="shared" ref="J295" si="78">F295+G295</f>
        <v>0</v>
      </c>
      <c r="K295" s="38">
        <f t="shared" ref="K295" si="79">SUM(F295:H295)</f>
        <v>0</v>
      </c>
      <c r="L295" s="17" t="s">
        <v>199</v>
      </c>
    </row>
    <row r="296" spans="2:12" ht="15.75" hidden="1" outlineLevel="1" x14ac:dyDescent="0.3">
      <c r="B296" s="17"/>
      <c r="C296" s="17"/>
      <c r="D296" s="17" t="s">
        <v>185</v>
      </c>
      <c r="E296" s="17"/>
      <c r="F296" s="38">
        <f>IF(NOT(ISBLANK('Referenz Pflasterwerk'!$I65)),'Referenz Pflasterwerk'!$I65,'Referenz Pflasterwerk'!$F65)*IF(NOT(ISBLANK('Eingabe EF'!$AS50)),'Eingabe EF'!$AS50,0)*IF(NOT(ISBLANK('Referenz Pflasterwerk'!$I$12)),'Referenz Pflasterwerk'!$I$12,'Referenz Pflasterwerk'!$F$12)</f>
        <v>0</v>
      </c>
      <c r="G296" s="38">
        <f>IF(NOT(ISBLANK('Referenz Pflasterwerk'!$I65)),'Referenz Pflasterwerk'!$I65,'Referenz Pflasterwerk'!$F65)*IF(NOT(ISBLANK('Eingabe EF'!$AW50)),'Eingabe EF'!$AW50,0)*IF(NOT(ISBLANK('Referenz Pflasterwerk'!$I$12)),'Referenz Pflasterwerk'!$I$12,'Referenz Pflasterwerk'!$F$12)</f>
        <v>0</v>
      </c>
      <c r="H296" s="38">
        <f>IF(NOT(ISBLANK('Referenz Pflasterwerk'!$I65)),'Referenz Pflasterwerk'!$I65,'Referenz Pflasterwerk'!$F65)*IF(NOT(ISBLANK('Eingabe EF'!$BA50)),'Eingabe EF'!$BA50,0)*IF(NOT(ISBLANK('Referenz Pflasterwerk'!$I$12)),'Referenz Pflasterwerk'!$I$12,'Referenz Pflasterwerk'!$F$12)</f>
        <v>0</v>
      </c>
      <c r="I296" s="17"/>
      <c r="J296" s="38">
        <f>F296+G296</f>
        <v>0</v>
      </c>
      <c r="K296" s="38">
        <f>SUM(F296:H296)</f>
        <v>0</v>
      </c>
      <c r="L296" s="17" t="s">
        <v>199</v>
      </c>
    </row>
    <row r="297" spans="2:12" hidden="1" outlineLevel="1" x14ac:dyDescent="0.2">
      <c r="B297" s="17"/>
      <c r="C297" s="17"/>
      <c r="D297" s="17"/>
      <c r="E297" s="17"/>
      <c r="F297" s="17"/>
      <c r="G297" s="17"/>
      <c r="H297" s="17"/>
      <c r="I297" s="17"/>
      <c r="J297" s="17"/>
      <c r="K297" s="17"/>
      <c r="L297" s="20"/>
    </row>
    <row r="298" spans="2:12" ht="14.25" hidden="1" outlineLevel="1" x14ac:dyDescent="0.25">
      <c r="B298" s="69"/>
      <c r="C298" s="69" t="s">
        <v>186</v>
      </c>
      <c r="D298" s="70"/>
      <c r="E298" s="70"/>
      <c r="F298" s="71">
        <f>SUM(F299:F301)</f>
        <v>0</v>
      </c>
      <c r="G298" s="71">
        <f t="shared" ref="G298:H298" si="80">SUM(G299:G301)</f>
        <v>0</v>
      </c>
      <c r="H298" s="71">
        <f t="shared" si="80"/>
        <v>0</v>
      </c>
      <c r="I298" s="70"/>
      <c r="J298" s="71">
        <f t="shared" ref="J298" si="81">F298+G298</f>
        <v>0</v>
      </c>
      <c r="K298" s="71">
        <f t="shared" ref="K298" si="82">SUM(F298:H298)</f>
        <v>0</v>
      </c>
      <c r="L298" s="76" t="s">
        <v>198</v>
      </c>
    </row>
    <row r="299" spans="2:12" ht="15.75" hidden="1" outlineLevel="1" x14ac:dyDescent="0.3">
      <c r="B299" s="17"/>
      <c r="C299" s="17"/>
      <c r="D299" s="17" t="s">
        <v>67</v>
      </c>
      <c r="E299" s="17"/>
      <c r="F299" s="44">
        <f>IF(NOT(ISBLANK('Referenz Pflasterwerk'!$I68)),'Referenz Pflasterwerk'!$I68,'Referenz Pflasterwerk'!$F68)*IF(NOT(ISBLANK('Eingabe EF'!$AS53)),'Eingabe EF'!$AS53,'Eingabe EF'!$AQ53)</f>
        <v>0</v>
      </c>
      <c r="G299" s="44">
        <f>IF(NOT(ISBLANK('Referenz Pflasterwerk'!$I68)),'Referenz Pflasterwerk'!$I68,'Referenz Pflasterwerk'!$F68)*IF(NOT(ISBLANK('Eingabe EF'!$AW53)),'Eingabe EF'!$AW53,'Eingabe EF'!$AU53)</f>
        <v>0</v>
      </c>
      <c r="H299" s="44">
        <f>IF(NOT(ISBLANK('Referenz Pflasterwerk'!$I68)),'Referenz Pflasterwerk'!$I68,'Referenz Pflasterwerk'!$F68)*IF(NOT(ISBLANK('Eingabe EF'!$BA53)),'Eingabe EF'!$BA53,'Eingabe EF'!$AY53)</f>
        <v>0</v>
      </c>
      <c r="I299" s="17"/>
      <c r="J299" s="38">
        <f>F299+G299</f>
        <v>0</v>
      </c>
      <c r="K299" s="38">
        <f>SUM(F299:H299)</f>
        <v>0</v>
      </c>
      <c r="L299" s="17" t="s">
        <v>199</v>
      </c>
    </row>
    <row r="300" spans="2:12" ht="15.75" hidden="1" outlineLevel="1" x14ac:dyDescent="0.3">
      <c r="B300" s="17"/>
      <c r="C300" s="17"/>
      <c r="D300" s="17" t="s">
        <v>188</v>
      </c>
      <c r="E300" s="17"/>
      <c r="F300" s="44">
        <f>IF(NOT(ISBLANK('Referenz Pflasterwerk'!$I69)),'Referenz Pflasterwerk'!$I69,'Referenz Pflasterwerk'!$F69)*IF(NOT(ISBLANK('Eingabe EF'!$AS54)),'Eingabe EF'!$AS54,0)</f>
        <v>0</v>
      </c>
      <c r="G300" s="44">
        <f>IF(NOT(ISBLANK('Referenz Pflasterwerk'!$I69)),'Referenz Pflasterwerk'!$I69,'Referenz Pflasterwerk'!$F69)*IF(NOT(ISBLANK('Eingabe EF'!$AW54)),'Eingabe EF'!$AW54,0)</f>
        <v>0</v>
      </c>
      <c r="H300" s="44">
        <f>IF(NOT(ISBLANK('Referenz Pflasterwerk'!$I69)),'Referenz Pflasterwerk'!$I69,'Referenz Pflasterwerk'!$F69)*IF(NOT(ISBLANK('Eingabe EF'!$BA54)),'Eingabe EF'!$BA54,0)</f>
        <v>0</v>
      </c>
      <c r="I300" s="17"/>
      <c r="J300" s="38">
        <f t="shared" ref="J300:J301" si="83">F300+G300</f>
        <v>0</v>
      </c>
      <c r="K300" s="38">
        <f t="shared" ref="K300:K301" si="84">SUM(F300:H300)</f>
        <v>0</v>
      </c>
      <c r="L300" s="17" t="s">
        <v>199</v>
      </c>
    </row>
    <row r="301" spans="2:12" ht="15.75" hidden="1" outlineLevel="1" x14ac:dyDescent="0.3">
      <c r="B301" s="17"/>
      <c r="C301" s="17"/>
      <c r="D301" s="17" t="s">
        <v>187</v>
      </c>
      <c r="E301" s="17"/>
      <c r="F301" s="44">
        <f>IF(NOT(ISBLANK('Referenz Pflasterwerk'!$I70)),'Referenz Pflasterwerk'!$I70,'Referenz Pflasterwerk'!$F70)*IF(NOT(ISBLANK('Eingabe EF'!$AS55)),'Eingabe EF'!$AS55,0)</f>
        <v>0</v>
      </c>
      <c r="G301" s="44">
        <f>IF(NOT(ISBLANK('Referenz Pflasterwerk'!$I70)),'Referenz Pflasterwerk'!$I70,'Referenz Pflasterwerk'!$F70)*IF(NOT(ISBLANK('Eingabe EF'!$AW55)),'Eingabe EF'!$AW55,0)</f>
        <v>0</v>
      </c>
      <c r="H301" s="44">
        <f>IF(NOT(ISBLANK('Referenz Pflasterwerk'!$I70)),'Referenz Pflasterwerk'!$I70,'Referenz Pflasterwerk'!$F70)*IF(NOT(ISBLANK('Eingabe EF'!$BA55)),'Eingabe EF'!$BA55,0)</f>
        <v>0</v>
      </c>
      <c r="I301" s="17"/>
      <c r="J301" s="38">
        <f t="shared" si="83"/>
        <v>0</v>
      </c>
      <c r="K301" s="38">
        <f t="shared" si="84"/>
        <v>0</v>
      </c>
      <c r="L301" s="17" t="s">
        <v>199</v>
      </c>
    </row>
    <row r="302" spans="2:12" hidden="1" outlineLevel="1" x14ac:dyDescent="0.2">
      <c r="B302" s="17"/>
      <c r="C302" s="17"/>
      <c r="D302" s="17"/>
      <c r="E302" s="17"/>
      <c r="F302" s="17"/>
      <c r="G302" s="17"/>
      <c r="H302" s="17"/>
      <c r="I302" s="17"/>
      <c r="J302" s="17"/>
      <c r="K302" s="17"/>
      <c r="L302" s="20"/>
    </row>
    <row r="303" spans="2:12" ht="14.25" hidden="1" outlineLevel="1" x14ac:dyDescent="0.25">
      <c r="B303" s="17"/>
      <c r="C303" s="17"/>
      <c r="D303" s="21" t="s">
        <v>64</v>
      </c>
      <c r="E303" s="21"/>
      <c r="F303" s="75">
        <f>IF(NOT(ISBLANK('Referenz Pflasterwerk'!$I72)),'Referenz Pflasterwerk'!$I72,'Referenz Pflasterwerk'!$F72)*IF(NOT(ISBLANK('Eingabe EF'!$AS57)),'Eingabe EF'!$AS57,'Eingabe EF'!$AQ57)</f>
        <v>0</v>
      </c>
      <c r="G303" s="75">
        <f>IF(NOT(ISBLANK('Referenz Pflasterwerk'!$I72)),'Referenz Pflasterwerk'!$I72,'Referenz Pflasterwerk'!$F72)*IF(NOT(ISBLANK('Eingabe EF'!$AW57)),'Eingabe EF'!$AW57,'Eingabe EF'!$AU57)</f>
        <v>0</v>
      </c>
      <c r="H303" s="75">
        <f>IF(NOT(ISBLANK('Referenz Pflasterwerk'!$I72)),'Referenz Pflasterwerk'!$I72,'Referenz Pflasterwerk'!$F72)*IF(NOT(ISBLANK('Eingabe EF'!$BA57)),'Eingabe EF'!$BA57,'Eingabe EF'!$AY57)</f>
        <v>161.20000000000002</v>
      </c>
      <c r="I303" s="21"/>
      <c r="J303" s="74">
        <f t="shared" ref="J303" si="85">F303+G303</f>
        <v>0</v>
      </c>
      <c r="K303" s="74">
        <f t="shared" ref="K303" si="86">SUM(F303:H303)</f>
        <v>161.20000000000002</v>
      </c>
      <c r="L303" s="21" t="s">
        <v>198</v>
      </c>
    </row>
    <row r="304" spans="2:12" hidden="1" outlineLevel="1" x14ac:dyDescent="0.2">
      <c r="B304" s="17"/>
      <c r="C304" s="17"/>
      <c r="D304" s="17"/>
      <c r="E304" s="17"/>
      <c r="F304" s="20"/>
      <c r="G304" s="20"/>
      <c r="H304" s="20"/>
      <c r="I304" s="17"/>
      <c r="J304" s="17"/>
      <c r="K304" s="20"/>
      <c r="L304" s="20"/>
    </row>
    <row r="305" spans="2:12" ht="15" hidden="1" outlineLevel="1" thickBot="1" x14ac:dyDescent="0.3">
      <c r="B305" s="17"/>
      <c r="C305" s="17"/>
      <c r="D305" s="67" t="s">
        <v>70</v>
      </c>
      <c r="E305" s="67"/>
      <c r="F305" s="68">
        <f t="shared" ref="F305:G305" si="87">SUM(F244:F303)-F258-F262-F268-F275-F280-F286-F293-F298</f>
        <v>106.60088015999999</v>
      </c>
      <c r="G305" s="68">
        <f t="shared" si="87"/>
        <v>102.58759141018427</v>
      </c>
      <c r="H305" s="68">
        <f>SUM(H244:H303)-H258-H262-H268-H275-H280-H286-H293-H298</f>
        <v>9725.3379790829531</v>
      </c>
      <c r="I305" s="21"/>
      <c r="J305" s="68">
        <f t="shared" ref="J305" si="88">SUM(J244:J303)-J258-J262-J268-J275-J280-J286-J293-J298</f>
        <v>209.18847157018425</v>
      </c>
      <c r="K305" s="68">
        <f>SUM(K244:K303)-K258-K262-K268-K275-K280-K286-K293-K298</f>
        <v>9934.5264506531348</v>
      </c>
      <c r="L305" s="68" t="s">
        <v>198</v>
      </c>
    </row>
    <row r="306" spans="2:12" ht="13.5" hidden="1" outlineLevel="1" thickTop="1" x14ac:dyDescent="0.2">
      <c r="B306" s="17"/>
      <c r="C306" s="17"/>
      <c r="D306" s="17"/>
      <c r="E306" s="17"/>
      <c r="F306" s="20"/>
      <c r="G306" s="20"/>
      <c r="H306" s="20"/>
      <c r="I306" s="17"/>
      <c r="J306" s="17"/>
      <c r="K306" s="20"/>
      <c r="L306" s="20"/>
    </row>
    <row r="307" spans="2:12" collapsed="1" x14ac:dyDescent="0.2"/>
  </sheetData>
  <sheetProtection algorithmName="SHA-512" hashValue="NvMM0QaoX551Y14TEUMA5mNJ42NKNDbUe8AXeoMNBZVdDcfkCL5S/MYCPoRxIibYLwEUBbmAKTMC/SaEQmK4dw==" saltValue="6RVy3EbnVVf0BOPb0oRtaw==" spinCount="100000" sheet="1" selectLockedCells="1"/>
  <mergeCells count="11">
    <mergeCell ref="D6:L6"/>
    <mergeCell ref="I13:K13"/>
    <mergeCell ref="E13:G13"/>
    <mergeCell ref="C85:C86"/>
    <mergeCell ref="S85:S86"/>
    <mergeCell ref="K94:K95"/>
    <mergeCell ref="D39:L39"/>
    <mergeCell ref="D40:L40"/>
    <mergeCell ref="D41:L41"/>
    <mergeCell ref="D42:L42"/>
    <mergeCell ref="D43:L43"/>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10</xdr:col>
                    <xdr:colOff>523875</xdr:colOff>
                    <xdr:row>95</xdr:row>
                    <xdr:rowOff>28575</xdr:rowOff>
                  </from>
                  <to>
                    <xdr:col>10</xdr:col>
                    <xdr:colOff>704850</xdr:colOff>
                    <xdr:row>95</xdr:row>
                    <xdr:rowOff>190500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523875</xdr:colOff>
                    <xdr:row>96</xdr:row>
                    <xdr:rowOff>28575</xdr:rowOff>
                  </from>
                  <to>
                    <xdr:col>10</xdr:col>
                    <xdr:colOff>704850</xdr:colOff>
                    <xdr:row>96</xdr:row>
                    <xdr:rowOff>190500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10</xdr:col>
                    <xdr:colOff>523875</xdr:colOff>
                    <xdr:row>97</xdr:row>
                    <xdr:rowOff>28575</xdr:rowOff>
                  </from>
                  <to>
                    <xdr:col>10</xdr:col>
                    <xdr:colOff>704850</xdr:colOff>
                    <xdr:row>97</xdr:row>
                    <xdr:rowOff>180975</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10</xdr:col>
                    <xdr:colOff>523875</xdr:colOff>
                    <xdr:row>98</xdr:row>
                    <xdr:rowOff>19050</xdr:rowOff>
                  </from>
                  <to>
                    <xdr:col>10</xdr:col>
                    <xdr:colOff>704850</xdr:colOff>
                    <xdr:row>98</xdr:row>
                    <xdr:rowOff>190500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10</xdr:col>
                    <xdr:colOff>523875</xdr:colOff>
                    <xdr:row>99</xdr:row>
                    <xdr:rowOff>19050</xdr:rowOff>
                  </from>
                  <to>
                    <xdr:col>10</xdr:col>
                    <xdr:colOff>704850</xdr:colOff>
                    <xdr:row>99</xdr:row>
                    <xdr:rowOff>180975</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10</xdr:col>
                    <xdr:colOff>523875</xdr:colOff>
                    <xdr:row>100</xdr:row>
                    <xdr:rowOff>0</xdr:rowOff>
                  </from>
                  <to>
                    <xdr:col>10</xdr:col>
                    <xdr:colOff>704850</xdr:colOff>
                    <xdr:row>100</xdr:row>
                    <xdr:rowOff>180975</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10</xdr:col>
                    <xdr:colOff>523875</xdr:colOff>
                    <xdr:row>101</xdr:row>
                    <xdr:rowOff>9525</xdr:rowOff>
                  </from>
                  <to>
                    <xdr:col>10</xdr:col>
                    <xdr:colOff>704850</xdr:colOff>
                    <xdr:row>101</xdr:row>
                    <xdr:rowOff>190500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18</xdr:col>
                    <xdr:colOff>457200</xdr:colOff>
                    <xdr:row>97</xdr:row>
                    <xdr:rowOff>0</xdr:rowOff>
                  </from>
                  <to>
                    <xdr:col>18</xdr:col>
                    <xdr:colOff>676275</xdr:colOff>
                    <xdr:row>97</xdr:row>
                    <xdr:rowOff>180975</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18</xdr:col>
                    <xdr:colOff>571500</xdr:colOff>
                    <xdr:row>98</xdr:row>
                    <xdr:rowOff>19050</xdr:rowOff>
                  </from>
                  <to>
                    <xdr:col>19</xdr:col>
                    <xdr:colOff>0</xdr:colOff>
                    <xdr:row>98</xdr:row>
                    <xdr:rowOff>200025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18</xdr:col>
                    <xdr:colOff>571500</xdr:colOff>
                    <xdr:row>99</xdr:row>
                    <xdr:rowOff>19050</xdr:rowOff>
                  </from>
                  <to>
                    <xdr:col>19</xdr:col>
                    <xdr:colOff>0</xdr:colOff>
                    <xdr:row>99</xdr:row>
                    <xdr:rowOff>200025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18</xdr:col>
                    <xdr:colOff>571500</xdr:colOff>
                    <xdr:row>100</xdr:row>
                    <xdr:rowOff>9525</xdr:rowOff>
                  </from>
                  <to>
                    <xdr:col>19</xdr:col>
                    <xdr:colOff>0</xdr:colOff>
                    <xdr:row>100</xdr:row>
                    <xdr:rowOff>190500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18</xdr:col>
                    <xdr:colOff>457200</xdr:colOff>
                    <xdr:row>95</xdr:row>
                    <xdr:rowOff>9525</xdr:rowOff>
                  </from>
                  <to>
                    <xdr:col>18</xdr:col>
                    <xdr:colOff>676275</xdr:colOff>
                    <xdr:row>96</xdr:row>
                    <xdr:rowOff>9525</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18</xdr:col>
                    <xdr:colOff>457200</xdr:colOff>
                    <xdr:row>94</xdr:row>
                    <xdr:rowOff>0</xdr:rowOff>
                  </from>
                  <to>
                    <xdr:col>18</xdr:col>
                    <xdr:colOff>676275</xdr:colOff>
                    <xdr:row>94</xdr:row>
                    <xdr:rowOff>180975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18</xdr:col>
                    <xdr:colOff>457200</xdr:colOff>
                    <xdr:row>96</xdr:row>
                    <xdr:rowOff>9525</xdr:rowOff>
                  </from>
                  <to>
                    <xdr:col>18</xdr:col>
                    <xdr:colOff>676275</xdr:colOff>
                    <xdr:row>97</xdr:row>
                    <xdr:rowOff>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2</xdr:col>
                    <xdr:colOff>514350</xdr:colOff>
                    <xdr:row>85</xdr:row>
                    <xdr:rowOff>152400</xdr:rowOff>
                  </from>
                  <to>
                    <xdr:col>2</xdr:col>
                    <xdr:colOff>723900</xdr:colOff>
                    <xdr:row>87</xdr:row>
                    <xdr:rowOff>9525</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2</xdr:col>
                    <xdr:colOff>514350</xdr:colOff>
                    <xdr:row>86</xdr:row>
                    <xdr:rowOff>190500</xdr:rowOff>
                  </from>
                  <to>
                    <xdr:col>2</xdr:col>
                    <xdr:colOff>723900</xdr:colOff>
                    <xdr:row>88</xdr:row>
                    <xdr:rowOff>9525</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xdr:col>
                    <xdr:colOff>514350</xdr:colOff>
                    <xdr:row>87</xdr:row>
                    <xdr:rowOff>190500</xdr:rowOff>
                  </from>
                  <to>
                    <xdr:col>2</xdr:col>
                    <xdr:colOff>723900</xdr:colOff>
                    <xdr:row>89</xdr:row>
                    <xdr:rowOff>9525</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2</xdr:col>
                    <xdr:colOff>514350</xdr:colOff>
                    <xdr:row>88</xdr:row>
                    <xdr:rowOff>190500</xdr:rowOff>
                  </from>
                  <to>
                    <xdr:col>2</xdr:col>
                    <xdr:colOff>723900</xdr:colOff>
                    <xdr:row>90</xdr:row>
                    <xdr:rowOff>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2</xdr:col>
                    <xdr:colOff>514350</xdr:colOff>
                    <xdr:row>89</xdr:row>
                    <xdr:rowOff>190500</xdr:rowOff>
                  </from>
                  <to>
                    <xdr:col>2</xdr:col>
                    <xdr:colOff>723900</xdr:colOff>
                    <xdr:row>90</xdr:row>
                    <xdr:rowOff>200025</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2</xdr:col>
                    <xdr:colOff>514350</xdr:colOff>
                    <xdr:row>90</xdr:row>
                    <xdr:rowOff>180975</xdr:rowOff>
                  </from>
                  <to>
                    <xdr:col>2</xdr:col>
                    <xdr:colOff>723900</xdr:colOff>
                    <xdr:row>91</xdr:row>
                    <xdr:rowOff>190500</xdr:rowOff>
                  </to>
                </anchor>
              </controlPr>
            </control>
          </mc:Choice>
        </mc:AlternateContent>
        <mc:AlternateContent xmlns:mc="http://schemas.openxmlformats.org/markup-compatibility/2006">
          <mc:Choice Requires="x14">
            <control shapeId="82965" r:id="rId24" name="Check Box 21">
              <controlPr defaultSize="0" autoFill="0" autoLine="0" autoPict="0">
                <anchor moveWithCells="1">
                  <from>
                    <xdr:col>2</xdr:col>
                    <xdr:colOff>514350</xdr:colOff>
                    <xdr:row>91</xdr:row>
                    <xdr:rowOff>171450</xdr:rowOff>
                  </from>
                  <to>
                    <xdr:col>2</xdr:col>
                    <xdr:colOff>723900</xdr:colOff>
                    <xdr:row>93</xdr:row>
                    <xdr:rowOff>0</xdr:rowOff>
                  </to>
                </anchor>
              </controlPr>
            </control>
          </mc:Choice>
        </mc:AlternateContent>
        <mc:AlternateContent xmlns:mc="http://schemas.openxmlformats.org/markup-compatibility/2006">
          <mc:Choice Requires="x14">
            <control shapeId="82966" r:id="rId25" name="Check Box 22">
              <controlPr defaultSize="0" autoFill="0" autoLine="0" autoPict="0">
                <anchor moveWithCells="1">
                  <from>
                    <xdr:col>2</xdr:col>
                    <xdr:colOff>514350</xdr:colOff>
                    <xdr:row>93</xdr:row>
                    <xdr:rowOff>190500</xdr:rowOff>
                  </from>
                  <to>
                    <xdr:col>2</xdr:col>
                    <xdr:colOff>723900</xdr:colOff>
                    <xdr:row>95</xdr:row>
                    <xdr:rowOff>0</xdr:rowOff>
                  </to>
                </anchor>
              </controlPr>
            </control>
          </mc:Choice>
        </mc:AlternateContent>
        <mc:AlternateContent xmlns:mc="http://schemas.openxmlformats.org/markup-compatibility/2006">
          <mc:Choice Requires="x14">
            <control shapeId="82967" r:id="rId26" name="Check Box 23">
              <controlPr defaultSize="0" autoFill="0" autoLine="0" autoPict="0">
                <anchor moveWithCells="1">
                  <from>
                    <xdr:col>2</xdr:col>
                    <xdr:colOff>514350</xdr:colOff>
                    <xdr:row>94</xdr:row>
                    <xdr:rowOff>180975</xdr:rowOff>
                  </from>
                  <to>
                    <xdr:col>2</xdr:col>
                    <xdr:colOff>723900</xdr:colOff>
                    <xdr:row>96</xdr:row>
                    <xdr:rowOff>0</xdr:rowOff>
                  </to>
                </anchor>
              </controlPr>
            </control>
          </mc:Choice>
        </mc:AlternateContent>
        <mc:AlternateContent xmlns:mc="http://schemas.openxmlformats.org/markup-compatibility/2006">
          <mc:Choice Requires="x14">
            <control shapeId="82968" r:id="rId27" name="Check Box 24">
              <controlPr defaultSize="0" autoFill="0" autoLine="0" autoPict="0">
                <anchor moveWithCells="1">
                  <from>
                    <xdr:col>2</xdr:col>
                    <xdr:colOff>514350</xdr:colOff>
                    <xdr:row>95</xdr:row>
                    <xdr:rowOff>180975</xdr:rowOff>
                  </from>
                  <to>
                    <xdr:col>2</xdr:col>
                    <xdr:colOff>723900</xdr:colOff>
                    <xdr:row>97</xdr:row>
                    <xdr:rowOff>0</xdr:rowOff>
                  </to>
                </anchor>
              </controlPr>
            </control>
          </mc:Choice>
        </mc:AlternateContent>
        <mc:AlternateContent xmlns:mc="http://schemas.openxmlformats.org/markup-compatibility/2006">
          <mc:Choice Requires="x14">
            <control shapeId="82969" r:id="rId28" name="Check Box 25">
              <controlPr defaultSize="0" autoFill="0" autoLine="0" autoPict="0">
                <anchor moveWithCells="1">
                  <from>
                    <xdr:col>2</xdr:col>
                    <xdr:colOff>514350</xdr:colOff>
                    <xdr:row>96</xdr:row>
                    <xdr:rowOff>180975</xdr:rowOff>
                  </from>
                  <to>
                    <xdr:col>2</xdr:col>
                    <xdr:colOff>723900</xdr:colOff>
                    <xdr:row>98</xdr:row>
                    <xdr:rowOff>9525</xdr:rowOff>
                  </to>
                </anchor>
              </controlPr>
            </control>
          </mc:Choice>
        </mc:AlternateContent>
        <mc:AlternateContent xmlns:mc="http://schemas.openxmlformats.org/markup-compatibility/2006">
          <mc:Choice Requires="x14">
            <control shapeId="82970" r:id="rId29" name="Check Box 26">
              <controlPr defaultSize="0" autoFill="0" autoLine="0" autoPict="0">
                <anchor moveWithCells="1">
                  <from>
                    <xdr:col>2</xdr:col>
                    <xdr:colOff>514350</xdr:colOff>
                    <xdr:row>92</xdr:row>
                    <xdr:rowOff>180975</xdr:rowOff>
                  </from>
                  <to>
                    <xdr:col>2</xdr:col>
                    <xdr:colOff>723900</xdr:colOff>
                    <xdr:row>94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F74C-1953-4BB1-A051-16399B5D692B}">
  <sheetPr>
    <pageSetUpPr fitToPage="1"/>
  </sheetPr>
  <dimension ref="B2:AA311"/>
  <sheetViews>
    <sheetView zoomScale="90" zoomScaleNormal="90" workbookViewId="0">
      <selection activeCell="G17" sqref="G17"/>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8" width="11.5" style="6" customWidth="1"/>
    <col min="9"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6" x14ac:dyDescent="0.2">
      <c r="B2" s="3"/>
      <c r="C2" s="89"/>
      <c r="D2" s="89"/>
      <c r="E2" s="89"/>
      <c r="F2" s="89"/>
      <c r="G2" s="89"/>
      <c r="H2" s="89"/>
      <c r="I2" s="89"/>
      <c r="J2" s="89"/>
      <c r="K2" s="89"/>
      <c r="L2" s="89"/>
      <c r="M2" s="3"/>
      <c r="N2" s="3"/>
      <c r="O2" s="3"/>
      <c r="P2" s="3"/>
    </row>
    <row r="3" spans="2:16" ht="18" x14ac:dyDescent="0.25">
      <c r="B3" s="3"/>
      <c r="C3" s="89"/>
      <c r="D3" s="90" t="s">
        <v>289</v>
      </c>
      <c r="E3" s="89"/>
      <c r="F3" s="89"/>
      <c r="G3" s="89"/>
      <c r="H3" s="89"/>
      <c r="I3" s="89"/>
      <c r="J3" s="89"/>
      <c r="K3" s="89"/>
      <c r="L3" s="89"/>
      <c r="M3" s="3"/>
      <c r="N3" s="3"/>
      <c r="O3" s="3"/>
      <c r="P3" s="3"/>
    </row>
    <row r="4" spans="2:16" x14ac:dyDescent="0.2">
      <c r="B4" s="3"/>
      <c r="C4" s="89"/>
      <c r="D4" s="3"/>
      <c r="E4" s="3"/>
      <c r="F4" s="3"/>
      <c r="G4" s="3"/>
      <c r="H4" s="3"/>
      <c r="I4" s="3"/>
      <c r="J4" s="3"/>
      <c r="K4" s="3"/>
      <c r="L4" s="3"/>
      <c r="M4" s="3"/>
      <c r="N4" s="3"/>
      <c r="O4" s="3"/>
      <c r="P4" s="3"/>
    </row>
    <row r="5" spans="2:16" ht="12.75" customHeight="1" x14ac:dyDescent="0.2">
      <c r="B5" s="3"/>
      <c r="C5" s="89"/>
      <c r="D5" s="103" t="s">
        <v>328</v>
      </c>
      <c r="E5" s="103"/>
      <c r="F5" s="103"/>
      <c r="G5" s="103"/>
      <c r="H5" s="103"/>
      <c r="I5" s="103"/>
      <c r="J5" s="103"/>
      <c r="K5" s="103"/>
      <c r="L5" s="103"/>
      <c r="M5" s="3"/>
      <c r="N5" s="3"/>
      <c r="O5" s="3"/>
      <c r="P5" s="3"/>
    </row>
    <row r="6" spans="2:16" ht="114.75" customHeight="1" x14ac:dyDescent="0.2">
      <c r="B6" s="3"/>
      <c r="C6" s="93"/>
      <c r="D6" s="386" t="s">
        <v>483</v>
      </c>
      <c r="E6" s="386"/>
      <c r="F6" s="386"/>
      <c r="G6" s="386"/>
      <c r="H6" s="386"/>
      <c r="I6" s="386"/>
      <c r="J6" s="386"/>
      <c r="K6" s="386"/>
      <c r="L6" s="386"/>
      <c r="M6" s="3"/>
      <c r="N6" s="3"/>
      <c r="O6" s="3"/>
      <c r="P6" s="3"/>
    </row>
    <row r="7" spans="2:16" x14ac:dyDescent="0.2">
      <c r="B7" s="3"/>
      <c r="C7" s="89"/>
      <c r="D7" s="89"/>
      <c r="E7" s="89"/>
      <c r="F7" s="89"/>
      <c r="G7" s="89"/>
      <c r="H7" s="89"/>
      <c r="I7" s="89"/>
      <c r="J7" s="89"/>
      <c r="K7" s="89"/>
      <c r="L7" s="89"/>
      <c r="M7" s="3"/>
      <c r="N7" s="3"/>
      <c r="O7" s="3"/>
      <c r="P7" s="3"/>
    </row>
    <row r="9" spans="2:16" x14ac:dyDescent="0.2">
      <c r="B9" s="3"/>
      <c r="C9" s="3"/>
      <c r="D9" s="3"/>
      <c r="E9" s="3"/>
      <c r="F9" s="3"/>
      <c r="G9" s="3"/>
      <c r="H9" s="3"/>
      <c r="I9" s="3"/>
      <c r="J9" s="3"/>
      <c r="K9" s="3"/>
      <c r="L9" s="3"/>
      <c r="M9" s="3"/>
      <c r="N9" s="3"/>
      <c r="O9" s="3"/>
      <c r="P9" s="3"/>
    </row>
    <row r="10" spans="2:16" x14ac:dyDescent="0.2">
      <c r="B10" s="3"/>
      <c r="C10" s="3"/>
      <c r="D10" s="3"/>
      <c r="E10" s="3"/>
      <c r="F10" s="3"/>
      <c r="G10" s="3"/>
      <c r="H10" s="3"/>
      <c r="I10" s="3"/>
      <c r="J10" s="3"/>
      <c r="K10" s="3"/>
      <c r="L10" s="3"/>
      <c r="M10" s="3"/>
      <c r="N10" s="3"/>
      <c r="O10" s="3"/>
      <c r="P10" s="3"/>
    </row>
    <row r="11" spans="2:16" ht="18" x14ac:dyDescent="0.25">
      <c r="B11" s="3"/>
      <c r="C11" s="3"/>
      <c r="D11" s="85" t="s">
        <v>290</v>
      </c>
      <c r="E11" s="94"/>
      <c r="F11" s="95"/>
      <c r="G11" s="7"/>
      <c r="H11" s="7"/>
      <c r="I11" s="7"/>
      <c r="J11" s="7"/>
      <c r="K11" s="7"/>
      <c r="L11" s="3"/>
      <c r="M11" s="3"/>
      <c r="N11" s="3"/>
      <c r="O11" s="3"/>
      <c r="P11" s="3"/>
    </row>
    <row r="12" spans="2:16" ht="14.25" x14ac:dyDescent="0.2">
      <c r="B12" s="3"/>
      <c r="C12" s="3"/>
      <c r="D12" s="3"/>
      <c r="E12" s="3"/>
      <c r="F12" s="3"/>
      <c r="G12" s="3"/>
      <c r="H12" s="7"/>
      <c r="I12" s="7"/>
      <c r="J12" s="7"/>
      <c r="K12" s="7"/>
      <c r="L12" s="3"/>
      <c r="M12" s="3"/>
      <c r="N12" s="3"/>
      <c r="O12" s="3"/>
      <c r="P12" s="3"/>
    </row>
    <row r="13" spans="2:16" ht="14.25" customHeight="1" x14ac:dyDescent="0.2">
      <c r="B13" s="3"/>
      <c r="C13" s="3"/>
      <c r="D13" s="8"/>
      <c r="E13" s="388">
        <v>2025</v>
      </c>
      <c r="F13" s="388"/>
      <c r="G13" s="388"/>
      <c r="H13" s="13"/>
      <c r="I13" s="388">
        <v>2030</v>
      </c>
      <c r="J13" s="388"/>
      <c r="K13" s="388"/>
      <c r="L13" s="8"/>
      <c r="M13" s="3"/>
      <c r="N13" s="3"/>
      <c r="O13" s="3"/>
      <c r="P13" s="3"/>
    </row>
    <row r="14" spans="2:16" x14ac:dyDescent="0.2">
      <c r="B14" s="3"/>
      <c r="C14" s="3"/>
      <c r="D14" s="8"/>
      <c r="E14" s="101" t="s">
        <v>83</v>
      </c>
      <c r="F14" s="101"/>
      <c r="G14" s="101" t="s">
        <v>80</v>
      </c>
      <c r="H14" s="13"/>
      <c r="I14" s="101" t="s">
        <v>83</v>
      </c>
      <c r="J14" s="101"/>
      <c r="K14" s="101" t="s">
        <v>80</v>
      </c>
      <c r="L14" s="8"/>
      <c r="M14" s="3"/>
      <c r="N14" s="3"/>
      <c r="O14" s="3"/>
      <c r="P14" s="3"/>
    </row>
    <row r="15" spans="2:16" x14ac:dyDescent="0.2">
      <c r="B15" s="3"/>
      <c r="C15" s="3"/>
      <c r="D15" s="3"/>
      <c r="E15" s="3"/>
      <c r="F15" s="3"/>
      <c r="G15" s="3"/>
      <c r="H15" s="3"/>
      <c r="I15" s="3"/>
      <c r="J15" s="3"/>
      <c r="K15" s="3"/>
      <c r="L15" s="3"/>
      <c r="M15" s="3"/>
      <c r="N15" s="3"/>
      <c r="O15" s="3"/>
      <c r="P15" s="3"/>
    </row>
    <row r="16" spans="2:16" x14ac:dyDescent="0.2">
      <c r="B16" s="3"/>
      <c r="C16" s="3"/>
      <c r="D16" s="8" t="s">
        <v>484</v>
      </c>
      <c r="E16" s="3"/>
      <c r="F16" s="3"/>
      <c r="G16" s="3"/>
      <c r="H16" s="3"/>
      <c r="I16" s="3"/>
      <c r="J16" s="3"/>
      <c r="K16" s="3"/>
      <c r="L16" s="3"/>
      <c r="M16" s="3"/>
      <c r="N16" s="3"/>
      <c r="O16" s="3"/>
      <c r="P16" s="3"/>
    </row>
    <row r="17" spans="2:16" x14ac:dyDescent="0.2">
      <c r="B17" s="3"/>
      <c r="C17" s="3"/>
      <c r="D17" s="3" t="s">
        <v>179</v>
      </c>
      <c r="E17" s="79">
        <v>0</v>
      </c>
      <c r="F17" s="15" t="s">
        <v>102</v>
      </c>
      <c r="G17" s="116"/>
      <c r="H17" s="15"/>
      <c r="I17" s="79"/>
      <c r="J17" s="15"/>
      <c r="K17" s="116"/>
      <c r="L17" s="15" t="s">
        <v>102</v>
      </c>
      <c r="M17" s="3"/>
      <c r="N17" s="3"/>
      <c r="O17" s="3"/>
      <c r="P17" s="3"/>
    </row>
    <row r="18" spans="2:16" x14ac:dyDescent="0.2">
      <c r="B18" s="3"/>
      <c r="C18" s="3"/>
      <c r="D18" s="3" t="s">
        <v>180</v>
      </c>
      <c r="E18" s="79">
        <v>0</v>
      </c>
      <c r="F18" s="15" t="s">
        <v>102</v>
      </c>
      <c r="G18" s="116"/>
      <c r="H18" s="15"/>
      <c r="I18" s="79"/>
      <c r="J18" s="15"/>
      <c r="K18" s="116"/>
      <c r="L18" s="15" t="s">
        <v>102</v>
      </c>
      <c r="M18" s="3"/>
      <c r="N18" s="3"/>
      <c r="O18" s="3"/>
      <c r="P18" s="3"/>
    </row>
    <row r="19" spans="2:16" x14ac:dyDescent="0.2">
      <c r="B19" s="3"/>
      <c r="C19" s="3"/>
      <c r="D19" s="3" t="s">
        <v>181</v>
      </c>
      <c r="E19" s="79">
        <v>0</v>
      </c>
      <c r="F19" s="15" t="s">
        <v>102</v>
      </c>
      <c r="G19" s="116"/>
      <c r="H19" s="15"/>
      <c r="I19" s="79"/>
      <c r="J19" s="15"/>
      <c r="K19" s="116"/>
      <c r="L19" s="15" t="s">
        <v>102</v>
      </c>
      <c r="M19" s="3"/>
      <c r="N19" s="3"/>
      <c r="O19" s="3"/>
      <c r="P19" s="3"/>
    </row>
    <row r="20" spans="2:16" x14ac:dyDescent="0.2">
      <c r="B20" s="3"/>
      <c r="C20" s="3"/>
      <c r="D20" s="122"/>
      <c r="E20" s="79"/>
      <c r="F20" s="79"/>
      <c r="G20" s="79"/>
      <c r="H20" s="79"/>
      <c r="I20" s="79"/>
      <c r="J20" s="79"/>
      <c r="K20" s="79"/>
      <c r="L20" s="15"/>
      <c r="M20" s="3"/>
      <c r="N20" s="3"/>
      <c r="O20" s="3"/>
      <c r="P20" s="3"/>
    </row>
    <row r="21" spans="2:16" ht="14.25" x14ac:dyDescent="0.2">
      <c r="B21" s="3"/>
      <c r="C21" s="3"/>
      <c r="D21" s="8" t="s">
        <v>476</v>
      </c>
      <c r="E21" s="79"/>
      <c r="F21" s="15"/>
      <c r="G21" s="15"/>
      <c r="H21" s="15"/>
      <c r="I21" s="15"/>
      <c r="J21" s="15"/>
      <c r="K21" s="15"/>
      <c r="L21" s="15"/>
      <c r="M21" s="3"/>
      <c r="N21" s="3"/>
      <c r="O21" s="3"/>
      <c r="P21" s="3"/>
    </row>
    <row r="22" spans="2:16" x14ac:dyDescent="0.2">
      <c r="B22" s="3"/>
      <c r="C22" s="3"/>
      <c r="D22" s="122" t="s">
        <v>283</v>
      </c>
      <c r="E22" s="79">
        <v>0</v>
      </c>
      <c r="F22" s="15" t="s">
        <v>49</v>
      </c>
      <c r="G22" s="300"/>
      <c r="H22" s="15" t="s">
        <v>49</v>
      </c>
      <c r="I22" s="79">
        <v>0</v>
      </c>
      <c r="J22" s="15" t="s">
        <v>49</v>
      </c>
      <c r="K22" s="300"/>
      <c r="L22" s="15" t="s">
        <v>49</v>
      </c>
      <c r="M22" s="3"/>
      <c r="N22" s="3"/>
      <c r="O22" s="3"/>
      <c r="P22" s="3"/>
    </row>
    <row r="23" spans="2:16" x14ac:dyDescent="0.2">
      <c r="B23" s="3"/>
      <c r="C23" s="3"/>
      <c r="D23" s="122" t="s">
        <v>284</v>
      </c>
      <c r="E23" s="79">
        <v>0</v>
      </c>
      <c r="F23" s="15" t="s">
        <v>49</v>
      </c>
      <c r="G23" s="300"/>
      <c r="H23" s="15" t="s">
        <v>49</v>
      </c>
      <c r="I23" s="79">
        <v>0</v>
      </c>
      <c r="J23" s="15" t="s">
        <v>49</v>
      </c>
      <c r="K23" s="300"/>
      <c r="L23" s="15" t="s">
        <v>49</v>
      </c>
      <c r="M23" s="3"/>
      <c r="N23" s="3"/>
      <c r="O23" s="3"/>
      <c r="P23" s="3"/>
    </row>
    <row r="24" spans="2:16" ht="14.25" x14ac:dyDescent="0.2">
      <c r="B24" s="3"/>
      <c r="C24" s="3"/>
      <c r="D24" s="122" t="s">
        <v>340</v>
      </c>
      <c r="E24" s="79">
        <f>E161</f>
        <v>0</v>
      </c>
      <c r="F24" s="79" t="s">
        <v>49</v>
      </c>
      <c r="G24" s="79"/>
      <c r="H24" s="79"/>
      <c r="I24" s="79">
        <f>E241</f>
        <v>0</v>
      </c>
      <c r="J24" s="79" t="s">
        <v>49</v>
      </c>
      <c r="K24" s="79"/>
      <c r="L24" s="15"/>
      <c r="M24" s="3"/>
      <c r="N24" s="3"/>
      <c r="O24" s="3"/>
      <c r="P24" s="3"/>
    </row>
    <row r="25" spans="2:16" x14ac:dyDescent="0.2">
      <c r="B25" s="3"/>
      <c r="C25" s="3"/>
      <c r="D25" s="3"/>
      <c r="E25" s="3"/>
      <c r="F25" s="3"/>
      <c r="G25" s="3"/>
      <c r="H25" s="3"/>
      <c r="I25" s="3"/>
      <c r="J25" s="3"/>
      <c r="K25" s="3"/>
      <c r="L25" s="3"/>
      <c r="M25" s="3"/>
      <c r="N25" s="3"/>
      <c r="O25" s="3"/>
      <c r="P25" s="3"/>
    </row>
    <row r="26" spans="2:16" ht="15.75" x14ac:dyDescent="0.2">
      <c r="B26" s="3"/>
      <c r="C26" s="3"/>
      <c r="D26" s="122" t="s">
        <v>270</v>
      </c>
      <c r="E26" s="317" t="s">
        <v>121</v>
      </c>
      <c r="F26" s="15"/>
      <c r="G26" s="320"/>
      <c r="H26" s="15" t="s">
        <v>321</v>
      </c>
      <c r="I26" s="317" t="s">
        <v>121</v>
      </c>
      <c r="J26" s="15"/>
      <c r="K26" s="320"/>
      <c r="L26" s="15" t="s">
        <v>321</v>
      </c>
      <c r="M26" s="3"/>
      <c r="N26" s="3"/>
      <c r="O26" s="3"/>
      <c r="P26" s="3"/>
    </row>
    <row r="27" spans="2:16" ht="15.75" x14ac:dyDescent="0.2">
      <c r="B27" s="3"/>
      <c r="C27" s="3"/>
      <c r="D27" s="122" t="s">
        <v>271</v>
      </c>
      <c r="E27" s="317" t="s">
        <v>121</v>
      </c>
      <c r="F27" s="15"/>
      <c r="G27" s="320"/>
      <c r="H27" s="15" t="s">
        <v>321</v>
      </c>
      <c r="I27" s="317" t="s">
        <v>121</v>
      </c>
      <c r="J27" s="15"/>
      <c r="K27" s="320"/>
      <c r="L27" s="15" t="s">
        <v>321</v>
      </c>
      <c r="M27" s="3"/>
      <c r="N27" s="3"/>
      <c r="O27" s="3"/>
      <c r="P27" s="3"/>
    </row>
    <row r="28" spans="2:16" ht="15.75" x14ac:dyDescent="0.2">
      <c r="B28" s="3"/>
      <c r="C28" s="3"/>
      <c r="D28" s="122" t="s">
        <v>469</v>
      </c>
      <c r="E28" s="322">
        <v>3.1900000000000001E-3</v>
      </c>
      <c r="F28" s="15" t="s">
        <v>336</v>
      </c>
      <c r="G28" s="320"/>
      <c r="H28" s="15" t="s">
        <v>336</v>
      </c>
      <c r="I28" s="322">
        <v>3.1900000000000001E-3</v>
      </c>
      <c r="J28" s="15" t="s">
        <v>336</v>
      </c>
      <c r="K28" s="320"/>
      <c r="L28" s="15" t="s">
        <v>336</v>
      </c>
      <c r="M28" s="3"/>
      <c r="N28" s="3"/>
      <c r="O28" s="3"/>
      <c r="P28" s="3"/>
    </row>
    <row r="29" spans="2:16" x14ac:dyDescent="0.2">
      <c r="B29" s="3"/>
      <c r="C29" s="3"/>
      <c r="D29" s="11"/>
      <c r="E29" s="79"/>
      <c r="F29" s="79"/>
      <c r="G29" s="79"/>
      <c r="H29" s="79"/>
      <c r="I29" s="79"/>
      <c r="J29" s="79"/>
      <c r="K29" s="79"/>
      <c r="L29" s="15"/>
      <c r="M29" s="3"/>
      <c r="N29" s="3"/>
      <c r="O29" s="3"/>
      <c r="P29" s="3"/>
    </row>
    <row r="30" spans="2:16" x14ac:dyDescent="0.2">
      <c r="B30" s="3"/>
      <c r="C30" s="3"/>
      <c r="D30" s="8"/>
      <c r="E30" s="80"/>
      <c r="F30" s="15"/>
      <c r="G30" s="15"/>
      <c r="H30" s="15"/>
      <c r="I30" s="80"/>
      <c r="J30" s="15"/>
      <c r="K30" s="15"/>
      <c r="L30" s="3"/>
      <c r="M30" s="3"/>
      <c r="N30" s="3"/>
      <c r="O30" s="3"/>
      <c r="P30" s="3"/>
    </row>
    <row r="31" spans="2:16" ht="14.25" x14ac:dyDescent="0.2">
      <c r="B31" s="3"/>
      <c r="C31" s="3"/>
      <c r="D31" s="12" t="s">
        <v>343</v>
      </c>
      <c r="E31" s="321">
        <v>0</v>
      </c>
      <c r="F31" s="15" t="s">
        <v>108</v>
      </c>
      <c r="G31" s="300"/>
      <c r="H31" s="15" t="s">
        <v>108</v>
      </c>
      <c r="I31" s="321">
        <v>0</v>
      </c>
      <c r="J31" s="15" t="s">
        <v>108</v>
      </c>
      <c r="K31" s="300"/>
      <c r="L31" s="3" t="s">
        <v>108</v>
      </c>
      <c r="M31" s="3"/>
      <c r="N31" s="3"/>
      <c r="O31" s="3"/>
      <c r="P31" s="3"/>
    </row>
    <row r="32" spans="2:16" ht="14.25" x14ac:dyDescent="0.2">
      <c r="B32" s="3"/>
      <c r="C32" s="3"/>
      <c r="D32" s="78" t="s">
        <v>344</v>
      </c>
      <c r="E32" s="79">
        <v>0</v>
      </c>
      <c r="F32" s="15" t="s">
        <v>109</v>
      </c>
      <c r="G32" s="300"/>
      <c r="H32" s="15" t="s">
        <v>109</v>
      </c>
      <c r="I32" s="79">
        <v>0</v>
      </c>
      <c r="J32" s="15" t="s">
        <v>109</v>
      </c>
      <c r="K32" s="300"/>
      <c r="L32" s="3" t="s">
        <v>109</v>
      </c>
      <c r="M32" s="3"/>
      <c r="N32" s="3"/>
      <c r="O32" s="3"/>
      <c r="P32" s="3"/>
    </row>
    <row r="33" spans="2:27" ht="14.25" x14ac:dyDescent="0.2">
      <c r="B33" s="3"/>
      <c r="C33" s="3"/>
      <c r="D33" s="78" t="s">
        <v>345</v>
      </c>
      <c r="E33" s="79">
        <v>0</v>
      </c>
      <c r="F33" s="15" t="s">
        <v>108</v>
      </c>
      <c r="G33" s="300"/>
      <c r="H33" s="15" t="s">
        <v>108</v>
      </c>
      <c r="I33" s="79">
        <v>0</v>
      </c>
      <c r="J33" s="15" t="s">
        <v>108</v>
      </c>
      <c r="K33" s="300"/>
      <c r="L33" s="3" t="s">
        <v>108</v>
      </c>
      <c r="M33" s="3"/>
      <c r="N33" s="3"/>
      <c r="O33" s="3"/>
      <c r="P33" s="3"/>
    </row>
    <row r="34" spans="2:27" x14ac:dyDescent="0.2">
      <c r="B34" s="3"/>
      <c r="C34" s="3"/>
      <c r="D34" s="78"/>
      <c r="E34" s="78"/>
      <c r="F34" s="78"/>
      <c r="G34" s="78"/>
      <c r="H34" s="78"/>
      <c r="I34" s="78"/>
      <c r="J34" s="78"/>
      <c r="K34" s="78"/>
      <c r="L34" s="78"/>
      <c r="M34" s="3"/>
      <c r="N34" s="3"/>
      <c r="O34" s="3"/>
      <c r="P34" s="3"/>
    </row>
    <row r="35" spans="2:27" x14ac:dyDescent="0.2">
      <c r="B35" s="3"/>
      <c r="C35" s="3"/>
      <c r="D35" s="78"/>
      <c r="E35" s="15"/>
      <c r="F35" s="15"/>
      <c r="G35" s="15"/>
      <c r="H35" s="15"/>
      <c r="I35" s="15"/>
      <c r="J35" s="15"/>
      <c r="K35" s="15"/>
      <c r="L35" s="15"/>
      <c r="M35" s="3"/>
      <c r="N35" s="3"/>
      <c r="O35" s="3"/>
      <c r="P35" s="3"/>
    </row>
    <row r="36" spans="2:27" x14ac:dyDescent="0.2">
      <c r="B36" s="3"/>
      <c r="C36" s="3"/>
      <c r="D36" s="78" t="s">
        <v>25</v>
      </c>
      <c r="E36" s="79">
        <v>10</v>
      </c>
      <c r="F36" s="15" t="s">
        <v>101</v>
      </c>
      <c r="G36" s="116"/>
      <c r="H36" s="15" t="s">
        <v>101</v>
      </c>
      <c r="I36" s="79">
        <v>10</v>
      </c>
      <c r="J36" s="15" t="s">
        <v>101</v>
      </c>
      <c r="K36" s="116"/>
      <c r="L36" s="15" t="s">
        <v>101</v>
      </c>
      <c r="M36" s="3"/>
      <c r="N36" s="3"/>
      <c r="O36" s="3"/>
      <c r="P36" s="3"/>
    </row>
    <row r="37" spans="2:27" x14ac:dyDescent="0.2">
      <c r="B37" s="3"/>
      <c r="C37" s="3"/>
      <c r="D37" s="78" t="s">
        <v>26</v>
      </c>
      <c r="E37" s="81">
        <v>8</v>
      </c>
      <c r="F37" s="15" t="s">
        <v>102</v>
      </c>
      <c r="G37" s="301"/>
      <c r="H37" s="15" t="s">
        <v>102</v>
      </c>
      <c r="I37" s="81">
        <v>8</v>
      </c>
      <c r="J37" s="15" t="s">
        <v>102</v>
      </c>
      <c r="K37" s="301"/>
      <c r="L37" s="15" t="s">
        <v>102</v>
      </c>
      <c r="M37" s="3"/>
      <c r="N37" s="3"/>
      <c r="O37" s="3"/>
      <c r="P37" s="3"/>
    </row>
    <row r="38" spans="2:27" x14ac:dyDescent="0.2">
      <c r="B38" s="3"/>
      <c r="C38" s="3"/>
      <c r="D38" s="15"/>
      <c r="E38" s="81"/>
      <c r="F38" s="15"/>
      <c r="G38" s="15"/>
      <c r="H38" s="15"/>
      <c r="I38" s="80"/>
      <c r="J38" s="15"/>
      <c r="K38" s="15"/>
      <c r="L38" s="3"/>
      <c r="M38" s="3"/>
      <c r="N38" s="3"/>
      <c r="O38" s="3"/>
      <c r="P38" s="3"/>
    </row>
    <row r="39" spans="2:27" x14ac:dyDescent="0.2">
      <c r="B39" s="3"/>
      <c r="C39" s="3"/>
      <c r="D39" s="15"/>
      <c r="E39" s="81"/>
      <c r="F39" s="15"/>
      <c r="G39" s="15"/>
      <c r="H39" s="15"/>
      <c r="I39" s="80"/>
      <c r="J39" s="15"/>
      <c r="K39" s="15"/>
      <c r="L39" s="3"/>
      <c r="M39" s="3"/>
      <c r="N39" s="3"/>
      <c r="O39" s="3"/>
      <c r="P39" s="3"/>
    </row>
    <row r="40" spans="2:27" x14ac:dyDescent="0.2">
      <c r="B40" s="3"/>
      <c r="C40" s="318" t="s">
        <v>312</v>
      </c>
      <c r="D40" s="390" t="s">
        <v>311</v>
      </c>
      <c r="E40" s="390"/>
      <c r="F40" s="390"/>
      <c r="G40" s="390"/>
      <c r="H40" s="390"/>
      <c r="I40" s="390"/>
      <c r="J40" s="390"/>
      <c r="K40" s="390"/>
      <c r="L40" s="390"/>
      <c r="M40" s="3"/>
      <c r="N40" s="3"/>
      <c r="O40" s="3"/>
      <c r="P40" s="3"/>
    </row>
    <row r="41" spans="2:27" ht="25.5" customHeight="1" x14ac:dyDescent="0.2">
      <c r="B41" s="3"/>
      <c r="C41" s="318" t="s">
        <v>313</v>
      </c>
      <c r="D41" s="391" t="s">
        <v>317</v>
      </c>
      <c r="E41" s="391"/>
      <c r="F41" s="391"/>
      <c r="G41" s="391"/>
      <c r="H41" s="391"/>
      <c r="I41" s="391"/>
      <c r="J41" s="391"/>
      <c r="K41" s="391"/>
      <c r="L41" s="391"/>
      <c r="M41" s="3"/>
      <c r="N41" s="3"/>
      <c r="O41" s="3"/>
      <c r="P41" s="3"/>
    </row>
    <row r="42" spans="2:27" x14ac:dyDescent="0.2">
      <c r="B42" s="3"/>
      <c r="C42" s="318" t="s">
        <v>314</v>
      </c>
      <c r="D42" s="392" t="s">
        <v>341</v>
      </c>
      <c r="E42" s="392"/>
      <c r="F42" s="392"/>
      <c r="G42" s="392"/>
      <c r="H42" s="392"/>
      <c r="I42" s="392"/>
      <c r="J42" s="392"/>
      <c r="K42" s="392"/>
      <c r="L42" s="392"/>
      <c r="M42" s="3"/>
      <c r="N42" s="3"/>
      <c r="O42" s="3"/>
      <c r="P42" s="3"/>
    </row>
    <row r="43" spans="2:27" x14ac:dyDescent="0.2">
      <c r="B43" s="3"/>
      <c r="C43" s="318" t="s">
        <v>315</v>
      </c>
      <c r="D43" s="392" t="s">
        <v>320</v>
      </c>
      <c r="E43" s="392"/>
      <c r="F43" s="392"/>
      <c r="G43" s="392"/>
      <c r="H43" s="392"/>
      <c r="I43" s="392"/>
      <c r="J43" s="392"/>
      <c r="K43" s="392"/>
      <c r="L43" s="392"/>
      <c r="M43" s="3"/>
      <c r="N43" s="3"/>
      <c r="O43" s="3"/>
      <c r="P43" s="3"/>
    </row>
    <row r="44" spans="2:27" x14ac:dyDescent="0.2">
      <c r="B44" s="3"/>
      <c r="C44" s="318" t="s">
        <v>316</v>
      </c>
      <c r="D44" s="319" t="s">
        <v>318</v>
      </c>
      <c r="E44" s="319"/>
      <c r="F44" s="319"/>
      <c r="G44" s="319"/>
      <c r="H44" s="319"/>
      <c r="I44" s="319"/>
      <c r="J44" s="319"/>
      <c r="K44" s="319"/>
      <c r="L44" s="319"/>
      <c r="M44" s="3"/>
      <c r="N44" s="3"/>
      <c r="O44" s="3"/>
      <c r="P44" s="3"/>
    </row>
    <row r="45" spans="2:27" x14ac:dyDescent="0.2">
      <c r="B45" s="3"/>
      <c r="C45" s="318" t="s">
        <v>342</v>
      </c>
      <c r="D45" s="319" t="s">
        <v>319</v>
      </c>
      <c r="E45" s="319"/>
      <c r="F45" s="319"/>
      <c r="G45" s="319"/>
      <c r="H45" s="319"/>
      <c r="I45" s="319"/>
      <c r="J45" s="319"/>
      <c r="K45" s="319"/>
      <c r="L45" s="319"/>
      <c r="M45" s="3"/>
      <c r="N45" s="3"/>
      <c r="O45" s="3"/>
      <c r="P45" s="3"/>
    </row>
    <row r="46" spans="2:27" x14ac:dyDescent="0.2">
      <c r="B46" s="3"/>
      <c r="C46" s="3"/>
      <c r="D46" s="15"/>
      <c r="E46" s="10"/>
      <c r="F46" s="3"/>
      <c r="G46" s="3"/>
      <c r="H46" s="3"/>
      <c r="I46" s="16"/>
      <c r="J46" s="3"/>
      <c r="K46" s="3"/>
      <c r="L46" s="3"/>
      <c r="M46" s="3"/>
      <c r="N46" s="3"/>
      <c r="O46" s="3"/>
      <c r="P46" s="3"/>
    </row>
    <row r="48" spans="2:27" x14ac:dyDescent="0.2">
      <c r="B48" s="3"/>
      <c r="C48" s="3"/>
      <c r="D48" s="14"/>
      <c r="E48" s="3"/>
      <c r="F48" s="3"/>
      <c r="G48" s="3"/>
      <c r="H48" s="3"/>
      <c r="I48" s="3"/>
      <c r="J48" s="3"/>
      <c r="K48" s="3"/>
      <c r="L48" s="3"/>
      <c r="M48" s="3"/>
      <c r="N48" s="3"/>
      <c r="O48" s="3"/>
      <c r="P48" s="3"/>
      <c r="Q48" s="3"/>
      <c r="R48" s="3"/>
      <c r="S48" s="3"/>
      <c r="T48" s="3"/>
      <c r="U48" s="3"/>
      <c r="V48" s="3"/>
      <c r="W48" s="3"/>
      <c r="X48" s="3"/>
      <c r="Y48" s="3"/>
      <c r="Z48" s="3"/>
      <c r="AA48" s="3"/>
    </row>
    <row r="49" spans="2:27" ht="18" x14ac:dyDescent="0.25">
      <c r="B49" s="3"/>
      <c r="C49" s="96" t="s">
        <v>291</v>
      </c>
      <c r="D49" s="14"/>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14"/>
      <c r="E50" s="3"/>
      <c r="F50" s="3"/>
      <c r="G50" s="114"/>
      <c r="H50" s="3"/>
      <c r="I50" s="3"/>
      <c r="J50" s="3"/>
      <c r="K50" s="3"/>
      <c r="L50" s="3"/>
      <c r="M50" s="3"/>
      <c r="N50" s="3"/>
      <c r="O50" s="3"/>
      <c r="P50" s="3"/>
      <c r="Q50" s="3"/>
      <c r="R50" s="3"/>
      <c r="S50" s="3"/>
      <c r="T50" s="3"/>
      <c r="U50" s="3"/>
      <c r="V50" s="3"/>
      <c r="W50" s="3"/>
      <c r="X50" s="3"/>
      <c r="Y50" s="3"/>
      <c r="Z50" s="3"/>
      <c r="AA50" s="3"/>
    </row>
    <row r="51" spans="2:27" ht="15" x14ac:dyDescent="0.25">
      <c r="B51" s="3"/>
      <c r="C51" s="91" t="s">
        <v>263</v>
      </c>
      <c r="D51" s="3"/>
      <c r="E51" s="3"/>
      <c r="F51" s="3"/>
      <c r="G51" s="3"/>
      <c r="H51" s="3"/>
      <c r="I51" s="3"/>
      <c r="J51" s="3"/>
      <c r="K51" s="91" t="s">
        <v>119</v>
      </c>
      <c r="L51" s="3"/>
      <c r="M51" s="3"/>
      <c r="N51" s="3"/>
      <c r="O51" s="3"/>
      <c r="P51" s="3"/>
      <c r="Q51" s="3"/>
      <c r="R51" s="3"/>
      <c r="S51" s="92" t="s">
        <v>87</v>
      </c>
      <c r="T51" s="3"/>
      <c r="U51" s="3"/>
      <c r="V51" s="3"/>
      <c r="W51" s="3"/>
      <c r="X51" s="3"/>
      <c r="Y51" s="3"/>
      <c r="Z51" s="3"/>
      <c r="AA51" s="3"/>
    </row>
    <row r="52" spans="2:27" x14ac:dyDescent="0.2">
      <c r="B52" s="3"/>
      <c r="C52" s="3"/>
      <c r="D52" s="14"/>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x14ac:dyDescent="0.2">
      <c r="B66" s="3"/>
      <c r="C66" s="3"/>
      <c r="D66" s="3"/>
      <c r="E66" s="3"/>
      <c r="F66" s="3"/>
      <c r="G66" s="3"/>
      <c r="H66" s="3"/>
      <c r="I66" s="3"/>
      <c r="J66" s="3"/>
      <c r="K66" s="3"/>
      <c r="L66" s="3"/>
      <c r="M66" s="3"/>
      <c r="N66" s="3"/>
      <c r="O66" s="3"/>
      <c r="P66" s="3"/>
      <c r="Q66" s="3"/>
      <c r="R66" s="3"/>
      <c r="S66" s="3"/>
      <c r="T66" s="3"/>
      <c r="U66" s="3"/>
      <c r="V66" s="3"/>
      <c r="W66" s="3"/>
      <c r="X66" s="3"/>
      <c r="Y66" s="3"/>
      <c r="Z66" s="3"/>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3"/>
      <c r="Z67" s="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7" x14ac:dyDescent="0.2">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7" x14ac:dyDescent="0.2">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7" x14ac:dyDescent="0.2">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7" x14ac:dyDescent="0.2">
      <c r="B72" s="3"/>
      <c r="C72" s="3"/>
      <c r="D72" s="3"/>
      <c r="E72" s="3"/>
      <c r="F72" s="3"/>
      <c r="G72" s="3"/>
      <c r="H72" s="3"/>
      <c r="I72" s="3"/>
      <c r="J72" s="3"/>
      <c r="K72" s="3"/>
      <c r="L72" s="3"/>
      <c r="M72" s="3"/>
      <c r="N72" s="3"/>
      <c r="O72" s="3"/>
      <c r="P72" s="3"/>
      <c r="Q72" s="3"/>
      <c r="R72" s="3"/>
      <c r="S72" s="3"/>
      <c r="T72" s="3"/>
      <c r="U72" s="3"/>
      <c r="V72" s="3"/>
      <c r="W72" s="3"/>
      <c r="X72" s="3"/>
      <c r="Y72" s="3"/>
      <c r="Z72" s="3"/>
      <c r="AA72" s="3"/>
    </row>
    <row r="73" spans="2:27" x14ac:dyDescent="0.2">
      <c r="B73" s="3"/>
      <c r="C73" s="3"/>
      <c r="D73" s="3"/>
      <c r="E73" s="3"/>
      <c r="F73" s="3"/>
      <c r="G73" s="3"/>
      <c r="H73" s="3"/>
      <c r="I73" s="3"/>
      <c r="J73" s="3"/>
      <c r="K73" s="3"/>
      <c r="L73" s="3"/>
      <c r="M73" s="3"/>
      <c r="N73" s="3"/>
      <c r="O73" s="3"/>
      <c r="P73" s="3"/>
      <c r="Q73" s="3"/>
      <c r="R73" s="3"/>
      <c r="S73" s="3"/>
      <c r="T73" s="3"/>
      <c r="U73" s="3"/>
      <c r="V73" s="3"/>
      <c r="W73" s="3"/>
      <c r="X73" s="3"/>
      <c r="Y73" s="3"/>
      <c r="Z73" s="3"/>
      <c r="AA73" s="3"/>
    </row>
    <row r="74" spans="2:27" x14ac:dyDescent="0.2">
      <c r="B74" s="3"/>
      <c r="C74" s="3"/>
      <c r="D74" s="3"/>
      <c r="E74" s="3"/>
      <c r="F74" s="3"/>
      <c r="G74" s="3"/>
      <c r="H74" s="3"/>
      <c r="I74" s="3"/>
      <c r="J74" s="3"/>
      <c r="K74" s="3"/>
      <c r="L74" s="3"/>
      <c r="M74" s="3"/>
      <c r="N74" s="3"/>
      <c r="O74" s="3"/>
      <c r="P74" s="3"/>
      <c r="Q74" s="3"/>
      <c r="R74" s="3"/>
      <c r="S74" s="3"/>
      <c r="T74" s="3"/>
      <c r="U74" s="3"/>
      <c r="V74" s="3"/>
      <c r="W74" s="3"/>
      <c r="X74" s="3"/>
      <c r="Y74" s="3"/>
      <c r="Z74" s="3"/>
      <c r="AA74" s="3"/>
    </row>
    <row r="75" spans="2:27" x14ac:dyDescent="0.2">
      <c r="B75" s="3"/>
      <c r="C75" s="3"/>
      <c r="D75" s="3"/>
      <c r="E75" s="3"/>
      <c r="F75" s="3"/>
      <c r="G75" s="3"/>
      <c r="H75" s="3"/>
      <c r="I75" s="3"/>
      <c r="J75" s="3"/>
      <c r="K75" s="3"/>
      <c r="L75" s="3"/>
      <c r="M75" s="3"/>
      <c r="N75" s="3"/>
      <c r="O75" s="3"/>
      <c r="P75" s="3"/>
      <c r="Q75" s="3"/>
      <c r="R75" s="3"/>
      <c r="S75" s="3"/>
      <c r="T75" s="3"/>
      <c r="U75" s="3"/>
      <c r="V75" s="3"/>
      <c r="W75" s="3"/>
      <c r="X75" s="3"/>
      <c r="Y75" s="3"/>
      <c r="Z75" s="3"/>
      <c r="AA75" s="3"/>
    </row>
    <row r="76" spans="2:27" x14ac:dyDescent="0.2">
      <c r="B76" s="3"/>
      <c r="C76" s="3"/>
      <c r="D76" s="3"/>
      <c r="E76" s="3"/>
      <c r="F76" s="3"/>
      <c r="G76" s="3"/>
      <c r="H76" s="3"/>
      <c r="I76" s="3"/>
      <c r="J76" s="3"/>
      <c r="K76" s="3"/>
      <c r="L76" s="3"/>
      <c r="M76" s="3"/>
      <c r="N76" s="3"/>
      <c r="O76" s="3"/>
      <c r="P76" s="3"/>
      <c r="Q76" s="3"/>
      <c r="R76" s="3"/>
      <c r="S76" s="3"/>
      <c r="T76" s="3"/>
      <c r="U76" s="3"/>
      <c r="V76" s="3"/>
      <c r="W76" s="3"/>
      <c r="X76" s="3"/>
      <c r="Y76" s="3"/>
      <c r="Z76" s="3"/>
      <c r="AA76" s="3"/>
    </row>
    <row r="77" spans="2:27" x14ac:dyDescent="0.2">
      <c r="B77" s="3"/>
      <c r="C77" s="3"/>
      <c r="D77" s="3"/>
      <c r="E77" s="3"/>
      <c r="F77" s="3"/>
      <c r="G77" s="3"/>
      <c r="H77" s="3"/>
      <c r="I77" s="3"/>
      <c r="J77" s="3"/>
      <c r="K77" s="3"/>
      <c r="L77" s="3"/>
      <c r="M77" s="3"/>
      <c r="N77" s="3"/>
      <c r="O77" s="3"/>
      <c r="P77" s="3"/>
      <c r="Q77" s="3"/>
      <c r="R77" s="3"/>
      <c r="S77" s="3"/>
      <c r="T77" s="3"/>
      <c r="U77" s="3"/>
      <c r="V77" s="3"/>
      <c r="W77" s="3"/>
      <c r="X77" s="3"/>
      <c r="Y77" s="3"/>
      <c r="Z77" s="3"/>
      <c r="AA77" s="3"/>
    </row>
    <row r="78" spans="2:27" x14ac:dyDescent="0.2">
      <c r="B78" s="3"/>
      <c r="C78" s="3"/>
      <c r="D78" s="3"/>
      <c r="E78" s="3"/>
      <c r="F78" s="3"/>
      <c r="G78" s="3"/>
      <c r="H78" s="3"/>
      <c r="I78" s="3"/>
      <c r="J78" s="3"/>
      <c r="K78" s="3"/>
      <c r="L78" s="3"/>
      <c r="M78" s="3"/>
      <c r="N78" s="3"/>
      <c r="O78" s="3"/>
      <c r="P78" s="3"/>
      <c r="Q78" s="3"/>
      <c r="R78" s="3"/>
      <c r="S78" s="3"/>
      <c r="T78" s="3"/>
      <c r="U78" s="3"/>
      <c r="V78" s="3"/>
      <c r="W78" s="3"/>
      <c r="X78" s="3"/>
      <c r="Y78" s="3"/>
      <c r="Z78" s="3"/>
      <c r="AA78" s="3"/>
    </row>
    <row r="79" spans="2:27" x14ac:dyDescent="0.2">
      <c r="B79" s="3"/>
      <c r="C79" s="3"/>
      <c r="D79" s="3"/>
      <c r="E79" s="3"/>
      <c r="F79" s="3"/>
      <c r="G79" s="3"/>
      <c r="H79" s="3"/>
      <c r="I79" s="3"/>
      <c r="J79" s="3"/>
      <c r="K79" s="3"/>
      <c r="L79" s="3"/>
      <c r="M79" s="3"/>
      <c r="N79" s="3"/>
      <c r="O79" s="3"/>
      <c r="P79" s="3"/>
      <c r="Q79" s="3"/>
      <c r="R79" s="3"/>
      <c r="S79" s="3"/>
      <c r="T79" s="3"/>
      <c r="U79" s="3"/>
      <c r="V79" s="3"/>
      <c r="W79" s="3"/>
      <c r="X79" s="3"/>
      <c r="Y79" s="3"/>
      <c r="Z79" s="3"/>
      <c r="AA79" s="3"/>
    </row>
    <row r="80" spans="2:27" x14ac:dyDescent="0.2">
      <c r="B80" s="3"/>
      <c r="C80" s="3"/>
      <c r="D80" s="3"/>
      <c r="E80" s="3"/>
      <c r="F80" s="3"/>
      <c r="G80" s="3"/>
      <c r="H80" s="3"/>
      <c r="I80" s="3"/>
      <c r="J80" s="3"/>
      <c r="K80" s="3"/>
      <c r="L80" s="3"/>
      <c r="M80" s="3"/>
      <c r="N80" s="3"/>
      <c r="O80" s="3"/>
      <c r="P80" s="3"/>
      <c r="Q80" s="3"/>
      <c r="R80" s="3"/>
      <c r="S80" s="3"/>
      <c r="T80" s="3"/>
      <c r="U80" s="3"/>
      <c r="V80" s="3"/>
      <c r="W80" s="3"/>
      <c r="X80" s="3"/>
      <c r="Y80" s="3"/>
      <c r="Z80" s="3"/>
      <c r="AA80" s="3"/>
    </row>
    <row r="81" spans="2:27" x14ac:dyDescent="0.2">
      <c r="B81" s="3"/>
      <c r="C81" s="3"/>
      <c r="D81" s="3"/>
      <c r="E81" s="3"/>
      <c r="F81" s="3"/>
      <c r="G81" s="3"/>
      <c r="H81" s="3"/>
      <c r="I81" s="3"/>
      <c r="J81" s="3"/>
      <c r="K81" s="3"/>
      <c r="L81" s="3"/>
      <c r="M81" s="3"/>
      <c r="N81" s="3"/>
      <c r="O81" s="3"/>
      <c r="P81" s="3"/>
      <c r="Q81" s="3"/>
      <c r="R81" s="3"/>
      <c r="S81" s="3"/>
      <c r="T81" s="3"/>
      <c r="U81" s="3"/>
      <c r="V81" s="3"/>
      <c r="W81" s="3"/>
      <c r="X81" s="3"/>
      <c r="Y81" s="3"/>
      <c r="Z81" s="3"/>
      <c r="AA81" s="3"/>
    </row>
    <row r="82" spans="2:27" x14ac:dyDescent="0.2">
      <c r="B82" s="3"/>
      <c r="C82" s="3"/>
      <c r="D82" s="3"/>
      <c r="E82" s="3"/>
      <c r="F82" s="3"/>
      <c r="G82" s="3"/>
      <c r="H82" s="3"/>
      <c r="I82" s="3"/>
      <c r="J82" s="3"/>
      <c r="K82" s="3"/>
      <c r="L82" s="3"/>
      <c r="M82" s="3"/>
      <c r="N82" s="3"/>
      <c r="O82" s="3"/>
      <c r="P82" s="3"/>
      <c r="Q82" s="3"/>
      <c r="R82" s="3"/>
      <c r="S82" s="3"/>
      <c r="T82" s="3"/>
      <c r="U82" s="3"/>
      <c r="V82" s="3"/>
      <c r="W82" s="3"/>
      <c r="X82" s="3"/>
      <c r="Y82" s="3"/>
      <c r="Z82" s="3"/>
      <c r="AA82" s="3"/>
    </row>
    <row r="83" spans="2:27" ht="15" customHeight="1" x14ac:dyDescent="0.25">
      <c r="B83" s="3"/>
      <c r="C83" s="96"/>
      <c r="D83" s="62"/>
      <c r="E83" s="3"/>
      <c r="F83" s="3"/>
      <c r="G83" s="3"/>
      <c r="H83" s="3"/>
      <c r="I83" s="3"/>
      <c r="J83" s="3"/>
      <c r="K83" s="3"/>
      <c r="L83" s="3"/>
      <c r="M83" s="3"/>
      <c r="N83" s="3"/>
      <c r="O83" s="3"/>
      <c r="P83" s="3"/>
      <c r="Q83" s="3"/>
      <c r="R83" s="3"/>
      <c r="S83" s="3"/>
      <c r="T83" s="3"/>
      <c r="U83" s="3"/>
      <c r="V83" s="3"/>
      <c r="W83" s="3"/>
      <c r="X83" s="3"/>
      <c r="Y83" s="84"/>
      <c r="Z83" s="84"/>
      <c r="AA83" s="3"/>
    </row>
    <row r="84" spans="2:27" x14ac:dyDescent="0.2">
      <c r="B84" s="3"/>
      <c r="C84" s="3"/>
      <c r="D84" s="3"/>
      <c r="E84" s="3"/>
      <c r="F84" s="3"/>
      <c r="G84" s="3"/>
      <c r="H84" s="3"/>
      <c r="I84" s="3"/>
      <c r="J84" s="3"/>
      <c r="K84" s="3"/>
      <c r="L84" s="3"/>
      <c r="M84" s="3"/>
      <c r="N84" s="3"/>
      <c r="O84" s="3"/>
      <c r="P84" s="3"/>
      <c r="Q84" s="3"/>
      <c r="R84" s="3"/>
      <c r="S84" s="3"/>
      <c r="T84" s="3"/>
      <c r="U84" s="3"/>
      <c r="V84" s="3"/>
      <c r="W84" s="3"/>
      <c r="X84" s="3"/>
      <c r="Y84" s="83"/>
      <c r="Z84" s="83"/>
      <c r="AA84" s="3"/>
    </row>
    <row r="85" spans="2:27" x14ac:dyDescent="0.2">
      <c r="B85" s="3"/>
      <c r="C85" s="3"/>
      <c r="D85" s="3"/>
      <c r="E85" s="3"/>
      <c r="F85" s="3"/>
      <c r="G85" s="3"/>
      <c r="H85" s="3"/>
      <c r="I85" s="3"/>
      <c r="J85" s="3"/>
      <c r="K85" s="3"/>
      <c r="L85" s="3"/>
      <c r="M85" s="3"/>
      <c r="N85" s="3"/>
      <c r="O85" s="3"/>
      <c r="P85" s="3"/>
      <c r="Q85" s="3"/>
      <c r="R85" s="3"/>
      <c r="S85" s="3"/>
      <c r="T85" s="3"/>
      <c r="U85" s="3"/>
      <c r="V85" s="3"/>
      <c r="W85" s="3"/>
      <c r="X85" s="3"/>
      <c r="Y85" s="83"/>
      <c r="Z85" s="83"/>
      <c r="AA85" s="3"/>
    </row>
    <row r="86" spans="2:27" ht="15" customHeight="1" x14ac:dyDescent="0.25">
      <c r="B86" s="3"/>
      <c r="C86" s="3"/>
      <c r="D86" s="23" t="s">
        <v>193</v>
      </c>
      <c r="E86" s="24"/>
      <c r="F86" s="24"/>
      <c r="G86" s="24"/>
      <c r="H86" s="24"/>
      <c r="I86" s="3"/>
      <c r="J86" s="3"/>
      <c r="K86" s="3"/>
      <c r="L86" s="23" t="s">
        <v>195</v>
      </c>
      <c r="M86" s="24"/>
      <c r="N86" s="24"/>
      <c r="O86" s="24"/>
      <c r="P86" s="24"/>
      <c r="Q86" s="3"/>
      <c r="R86" s="3"/>
      <c r="S86" s="3"/>
      <c r="T86" s="23" t="s">
        <v>200</v>
      </c>
      <c r="U86" s="24"/>
      <c r="V86" s="24"/>
      <c r="W86" s="24"/>
      <c r="X86" s="3"/>
      <c r="Y86" s="83"/>
      <c r="Z86" s="83"/>
      <c r="AA86" s="3"/>
    </row>
    <row r="87" spans="2:27" ht="15" customHeight="1" x14ac:dyDescent="0.25">
      <c r="B87" s="3"/>
      <c r="C87" s="387" t="s">
        <v>147</v>
      </c>
      <c r="D87" s="34"/>
      <c r="E87" s="46">
        <v>2020</v>
      </c>
      <c r="F87" s="47">
        <v>2025</v>
      </c>
      <c r="G87" s="47">
        <v>2030</v>
      </c>
      <c r="H87" s="34"/>
      <c r="I87" s="3"/>
      <c r="J87" s="3"/>
      <c r="K87" s="3"/>
      <c r="L87" s="34"/>
      <c r="M87" s="46">
        <v>2020</v>
      </c>
      <c r="N87" s="47">
        <v>2025</v>
      </c>
      <c r="O87" s="47">
        <v>2030</v>
      </c>
      <c r="P87" s="34"/>
      <c r="Q87" s="3"/>
      <c r="R87" s="3"/>
      <c r="S87" s="387" t="s">
        <v>147</v>
      </c>
      <c r="T87" s="34"/>
      <c r="U87" s="47">
        <v>2020</v>
      </c>
      <c r="V87" s="47">
        <v>2025</v>
      </c>
      <c r="W87" s="47">
        <v>2030</v>
      </c>
      <c r="X87" s="3"/>
      <c r="Y87" s="83"/>
      <c r="Z87" s="83"/>
      <c r="AA87" s="63"/>
    </row>
    <row r="88" spans="2:27" x14ac:dyDescent="0.2">
      <c r="B88" s="3"/>
      <c r="C88" s="387"/>
      <c r="D88" s="24"/>
      <c r="E88" s="48" t="s">
        <v>92</v>
      </c>
      <c r="F88" s="49"/>
      <c r="G88" s="49"/>
      <c r="H88" s="24"/>
      <c r="I88" s="3"/>
      <c r="J88" s="3"/>
      <c r="K88" s="3"/>
      <c r="L88" s="24"/>
      <c r="M88" s="48" t="s">
        <v>92</v>
      </c>
      <c r="N88" s="49"/>
      <c r="O88" s="49"/>
      <c r="P88" s="24"/>
      <c r="Q88" s="3"/>
      <c r="R88" s="3"/>
      <c r="S88" s="387"/>
      <c r="T88" s="24"/>
      <c r="U88" s="50" t="s">
        <v>92</v>
      </c>
      <c r="V88" s="50"/>
      <c r="W88" s="59"/>
      <c r="X88" s="3"/>
      <c r="Y88" s="83"/>
      <c r="Z88" s="83"/>
      <c r="AA88" s="63"/>
    </row>
    <row r="89" spans="2:27" ht="15.75" x14ac:dyDescent="0.3">
      <c r="B89" s="3"/>
      <c r="C89" s="3"/>
      <c r="D89" s="29" t="str">
        <f>C166</f>
        <v>Energieträger gesamt</v>
      </c>
      <c r="E89" s="26">
        <f>SUM('Referenz Pflasterwerk'!S16:S29)</f>
        <v>60.712972560000004</v>
      </c>
      <c r="F89" s="26">
        <f>H166</f>
        <v>49.22770657818478</v>
      </c>
      <c r="G89" s="26">
        <f>H245</f>
        <v>33.751991196047953</v>
      </c>
      <c r="H89" s="25" t="s">
        <v>164</v>
      </c>
      <c r="I89" s="3"/>
      <c r="J89" s="3"/>
      <c r="K89" s="3"/>
      <c r="L89" s="29" t="s">
        <v>118</v>
      </c>
      <c r="M89" s="26">
        <f>'Referenz Pflasterwerk'!Q74</f>
        <v>106.60088015999999</v>
      </c>
      <c r="N89" s="26">
        <f>F230</f>
        <v>106.60088015999999</v>
      </c>
      <c r="O89" s="26">
        <f>F309</f>
        <v>106.60088015999999</v>
      </c>
      <c r="P89" s="25" t="s">
        <v>164</v>
      </c>
      <c r="Q89" s="3"/>
      <c r="R89" s="3"/>
      <c r="S89" s="3"/>
      <c r="T89" s="57" t="s">
        <v>160</v>
      </c>
      <c r="U89" s="58">
        <f>SUM(U90:U96)</f>
        <v>172669</v>
      </c>
      <c r="V89" s="58">
        <f t="shared" ref="V89:W89" si="0">SUM(V90:V96)</f>
        <v>172669</v>
      </c>
      <c r="W89" s="58">
        <f t="shared" si="0"/>
        <v>172669</v>
      </c>
      <c r="X89" s="3"/>
      <c r="Y89" s="115"/>
      <c r="Z89" s="115"/>
      <c r="AA89" s="63"/>
    </row>
    <row r="90" spans="2:27" ht="15.75" x14ac:dyDescent="0.3">
      <c r="B90" s="3"/>
      <c r="C90" s="3"/>
      <c r="D90" s="8" t="str">
        <f>C182</f>
        <v>Transport gesamt</v>
      </c>
      <c r="E90" s="9">
        <f>'Referenz Pflasterwerk'!S32+'Referenz Pflasterwerk'!S33</f>
        <v>578.62626120000004</v>
      </c>
      <c r="F90" s="9">
        <f>H182</f>
        <v>578.62626120000004</v>
      </c>
      <c r="G90" s="9">
        <f>H261</f>
        <v>578.62626120000004</v>
      </c>
      <c r="H90" s="3" t="s">
        <v>164</v>
      </c>
      <c r="I90" s="3"/>
      <c r="J90" s="3"/>
      <c r="K90" s="3"/>
      <c r="L90" s="8" t="s">
        <v>28</v>
      </c>
      <c r="M90" s="9">
        <f>'Referenz Pflasterwerk'!R74</f>
        <v>286.5</v>
      </c>
      <c r="N90" s="9">
        <f>G230</f>
        <v>208.15407848118898</v>
      </c>
      <c r="O90" s="9">
        <f>G309</f>
        <v>102.58759141018427</v>
      </c>
      <c r="P90" s="3" t="s">
        <v>164</v>
      </c>
      <c r="Q90" s="3"/>
      <c r="R90" s="3"/>
      <c r="S90" s="3"/>
      <c r="T90" s="31" t="s">
        <v>32</v>
      </c>
      <c r="U90" s="52">
        <f>'Referenz Pflasterwerk'!AB16</f>
        <v>2745</v>
      </c>
      <c r="V90" s="52">
        <f>S168+S173</f>
        <v>2745</v>
      </c>
      <c r="W90" s="52">
        <f>S247+S252</f>
        <v>2745</v>
      </c>
      <c r="X90" s="3"/>
      <c r="Y90" s="115"/>
      <c r="Z90" s="115"/>
      <c r="AA90" s="63"/>
    </row>
    <row r="91" spans="2:27" ht="15.75" x14ac:dyDescent="0.3">
      <c r="B91" s="3"/>
      <c r="C91" s="3"/>
      <c r="D91" s="29" t="str">
        <f>C186</f>
        <v>Zement</v>
      </c>
      <c r="E91" s="26">
        <f>'Referenz Pflasterwerk'!S35</f>
        <v>7683.24</v>
      </c>
      <c r="F91" s="26">
        <f>H186</f>
        <v>7683.24</v>
      </c>
      <c r="G91" s="26">
        <f>H265</f>
        <v>7683.24</v>
      </c>
      <c r="H91" s="25" t="s">
        <v>164</v>
      </c>
      <c r="I91" s="3"/>
      <c r="J91" s="3"/>
      <c r="K91" s="3"/>
      <c r="L91" s="29" t="s">
        <v>29</v>
      </c>
      <c r="M91" s="26">
        <f>'Referenz Pflasterwerk'!S74</f>
        <v>10520.622960446901</v>
      </c>
      <c r="N91" s="26">
        <f>H230</f>
        <v>10509.137694465086</v>
      </c>
      <c r="O91" s="26">
        <f>H309</f>
        <v>10493.661979082948</v>
      </c>
      <c r="P91" s="25" t="s">
        <v>164</v>
      </c>
      <c r="Q91" s="3"/>
      <c r="R91" s="3"/>
      <c r="S91" s="3"/>
      <c r="T91" s="31" t="s">
        <v>33</v>
      </c>
      <c r="U91" s="52">
        <f>'Referenz Pflasterwerk'!AB17</f>
        <v>460</v>
      </c>
      <c r="V91" s="52">
        <f>S169+S174</f>
        <v>460</v>
      </c>
      <c r="W91" s="52">
        <f>S248+S253</f>
        <v>460</v>
      </c>
      <c r="X91" s="3"/>
      <c r="Y91" s="115"/>
      <c r="Z91" s="115"/>
      <c r="AA91" s="63"/>
    </row>
    <row r="92" spans="2:27" ht="16.5" thickBot="1" x14ac:dyDescent="0.35">
      <c r="B92" s="3"/>
      <c r="C92" s="3"/>
      <c r="D92" s="8" t="str">
        <f>C192</f>
        <v>Gesteinskörnungen (Zuschlagsstoffe)</v>
      </c>
      <c r="E92" s="9">
        <f>'Referenz Pflasterwerk'!S41</f>
        <v>387.03000000000003</v>
      </c>
      <c r="F92" s="9">
        <f>H192</f>
        <v>387.03000000000003</v>
      </c>
      <c r="G92" s="9">
        <f>H271</f>
        <v>387.03000000000003</v>
      </c>
      <c r="H92" s="3" t="s">
        <v>164</v>
      </c>
      <c r="I92" s="3"/>
      <c r="J92" s="3"/>
      <c r="K92" s="3"/>
      <c r="L92" s="27" t="s">
        <v>70</v>
      </c>
      <c r="M92" s="28">
        <f>SUM(M89:M91)</f>
        <v>10913.723840606901</v>
      </c>
      <c r="N92" s="28">
        <f t="shared" ref="N92:O92" si="1">SUM(N89:N91)</f>
        <v>10823.892653106275</v>
      </c>
      <c r="O92" s="28">
        <f t="shared" si="1"/>
        <v>10702.850450653132</v>
      </c>
      <c r="P92" s="27" t="s">
        <v>165</v>
      </c>
      <c r="Q92" s="3"/>
      <c r="R92" s="3"/>
      <c r="S92" s="3"/>
      <c r="T92" s="31" t="s">
        <v>34</v>
      </c>
      <c r="U92" s="52">
        <f>'Referenz Pflasterwerk'!AB18</f>
        <v>129000</v>
      </c>
      <c r="V92" s="52">
        <f>S170+S176</f>
        <v>129000</v>
      </c>
      <c r="W92" s="52">
        <f>S249+S255</f>
        <v>129000</v>
      </c>
      <c r="X92" s="3"/>
      <c r="Y92" s="115"/>
      <c r="Z92" s="115"/>
      <c r="AA92" s="63"/>
    </row>
    <row r="93" spans="2:27" ht="16.5" thickTop="1" x14ac:dyDescent="0.3">
      <c r="B93" s="3"/>
      <c r="C93" s="3"/>
      <c r="D93" s="29" t="str">
        <f>D197</f>
        <v>Farben</v>
      </c>
      <c r="E93" s="26">
        <f>'Referenz Pflasterwerk'!S46</f>
        <v>1040</v>
      </c>
      <c r="F93" s="26">
        <f>H197</f>
        <v>1040</v>
      </c>
      <c r="G93" s="26">
        <f>H276</f>
        <v>1040</v>
      </c>
      <c r="H93" s="25" t="s">
        <v>164</v>
      </c>
      <c r="I93" s="3"/>
      <c r="J93" s="3"/>
      <c r="K93" s="3"/>
      <c r="L93" s="3"/>
      <c r="M93" s="3"/>
      <c r="N93" s="3"/>
      <c r="O93" s="3"/>
      <c r="P93" s="3"/>
      <c r="Q93" s="3"/>
      <c r="R93" s="3"/>
      <c r="S93" s="3"/>
      <c r="T93" s="31" t="s">
        <v>125</v>
      </c>
      <c r="U93" s="52">
        <f>'Referenz Pflasterwerk'!AB19</f>
        <v>0</v>
      </c>
      <c r="V93" s="52">
        <f>S177</f>
        <v>0</v>
      </c>
      <c r="W93" s="52">
        <f>S256</f>
        <v>0</v>
      </c>
      <c r="X93" s="3"/>
      <c r="Y93" s="115"/>
      <c r="Z93" s="115"/>
      <c r="AA93" s="63"/>
    </row>
    <row r="94" spans="2:27" ht="15.75" x14ac:dyDescent="0.3">
      <c r="B94" s="3"/>
      <c r="C94" s="3"/>
      <c r="D94" s="8" t="str">
        <f>C199</f>
        <v>Zusatzstoffe (Füllstoffe)</v>
      </c>
      <c r="E94" s="9">
        <f>'Referenz Pflasterwerk'!S48</f>
        <v>424.19999999999993</v>
      </c>
      <c r="F94" s="9">
        <f>H199</f>
        <v>424.19999999999993</v>
      </c>
      <c r="G94" s="9">
        <f>H278</f>
        <v>424.19999999999993</v>
      </c>
      <c r="H94" s="3" t="s">
        <v>164</v>
      </c>
      <c r="I94" s="3"/>
      <c r="J94" s="3"/>
      <c r="K94" s="3"/>
      <c r="L94" s="3"/>
      <c r="M94" s="3"/>
      <c r="N94" s="3"/>
      <c r="O94" s="3"/>
      <c r="P94" s="3"/>
      <c r="Q94" s="3"/>
      <c r="R94" s="3"/>
      <c r="S94" s="3"/>
      <c r="T94" s="31" t="s">
        <v>126</v>
      </c>
      <c r="U94" s="52">
        <f>'Referenz Pflasterwerk'!AB20</f>
        <v>0</v>
      </c>
      <c r="V94" s="52">
        <f>S171</f>
        <v>0</v>
      </c>
      <c r="W94" s="52">
        <f>S250</f>
        <v>0</v>
      </c>
      <c r="X94" s="3"/>
      <c r="Y94" s="115"/>
      <c r="Z94" s="115"/>
      <c r="AA94" s="63"/>
    </row>
    <row r="95" spans="2:27" ht="15.75" x14ac:dyDescent="0.3">
      <c r="B95" s="3"/>
      <c r="C95" s="3"/>
      <c r="D95" s="29" t="str">
        <f>C204</f>
        <v>Zusatzmittel</v>
      </c>
      <c r="E95" s="26">
        <f>'Referenz Pflasterwerk'!S53</f>
        <v>185.55932668689491</v>
      </c>
      <c r="F95" s="26">
        <f>H204</f>
        <v>185.55932668689491</v>
      </c>
      <c r="G95" s="26">
        <f>H283</f>
        <v>185.55932668689491</v>
      </c>
      <c r="H95" s="25" t="s">
        <v>164</v>
      </c>
      <c r="I95" s="3"/>
      <c r="J95" s="3"/>
      <c r="K95" s="3"/>
      <c r="L95" s="23" t="s">
        <v>264</v>
      </c>
      <c r="M95" s="24"/>
      <c r="N95" s="24"/>
      <c r="O95" s="24"/>
      <c r="P95" s="24"/>
      <c r="Q95" s="3"/>
      <c r="R95" s="3"/>
      <c r="S95" s="3"/>
      <c r="T95" s="31" t="s">
        <v>463</v>
      </c>
      <c r="U95" s="52">
        <f>'Referenz Pflasterwerk'!AB21</f>
        <v>0</v>
      </c>
      <c r="V95" s="52">
        <f>S178</f>
        <v>0</v>
      </c>
      <c r="W95" s="52">
        <f>S257</f>
        <v>0</v>
      </c>
      <c r="X95" s="3"/>
      <c r="Y95" s="115"/>
      <c r="Z95" s="115"/>
      <c r="AA95" s="63"/>
    </row>
    <row r="96" spans="2:27" ht="15.75" x14ac:dyDescent="0.3">
      <c r="B96" s="3"/>
      <c r="C96" s="3"/>
      <c r="D96" s="8" t="str">
        <f>C210</f>
        <v>Ersatzstoffe &amp; Recyclingmaterial</v>
      </c>
      <c r="E96" s="9">
        <v>0</v>
      </c>
      <c r="F96" s="9">
        <f>H210</f>
        <v>0</v>
      </c>
      <c r="G96" s="9">
        <f>H289</f>
        <v>0</v>
      </c>
      <c r="H96" s="3" t="s">
        <v>164</v>
      </c>
      <c r="I96" s="3"/>
      <c r="J96" s="3"/>
      <c r="K96" s="387" t="s">
        <v>147</v>
      </c>
      <c r="L96" s="46"/>
      <c r="M96" s="46">
        <v>2020</v>
      </c>
      <c r="N96" s="47">
        <v>2025</v>
      </c>
      <c r="O96" s="47">
        <v>2030</v>
      </c>
      <c r="P96" s="34"/>
      <c r="Q96" s="3"/>
      <c r="R96" s="3"/>
      <c r="S96" s="3"/>
      <c r="T96" s="51" t="s">
        <v>35</v>
      </c>
      <c r="U96" s="53">
        <f>'Referenz Pflasterwerk'!AB22</f>
        <v>40464.000000000007</v>
      </c>
      <c r="V96" s="54">
        <f>S180+S181</f>
        <v>40464</v>
      </c>
      <c r="W96" s="54">
        <f>S259+S260</f>
        <v>40464</v>
      </c>
      <c r="X96" s="3"/>
      <c r="Y96" s="115"/>
      <c r="Z96" s="115"/>
      <c r="AA96" s="63"/>
    </row>
    <row r="97" spans="2:27" ht="15.75" x14ac:dyDescent="0.3">
      <c r="B97" s="3"/>
      <c r="C97" s="3"/>
      <c r="D97" s="29" t="s">
        <v>194</v>
      </c>
      <c r="E97" s="26">
        <f>'Referenz Pflasterwerk'!S59+'Referenz Pflasterwerk'!S60</f>
        <v>5.4399999999999997E-2</v>
      </c>
      <c r="F97" s="26">
        <f>H215+H216</f>
        <v>5.4399999999999997E-2</v>
      </c>
      <c r="G97" s="26">
        <f>H294+H295</f>
        <v>5.4399999999999997E-2</v>
      </c>
      <c r="H97" s="25" t="s">
        <v>164</v>
      </c>
      <c r="I97" s="3"/>
      <c r="J97" s="3"/>
      <c r="K97" s="387"/>
      <c r="L97" s="24"/>
      <c r="M97" s="48" t="s">
        <v>92</v>
      </c>
      <c r="N97" s="49"/>
      <c r="O97" s="49"/>
      <c r="P97" s="24"/>
      <c r="Q97" s="3"/>
      <c r="R97" s="3"/>
      <c r="S97" s="3"/>
      <c r="T97" s="8" t="s">
        <v>31</v>
      </c>
      <c r="U97" s="55">
        <v>0</v>
      </c>
      <c r="V97" s="55">
        <f>S184</f>
        <v>0</v>
      </c>
      <c r="W97" s="55">
        <f>S263</f>
        <v>0</v>
      </c>
      <c r="X97" s="3"/>
      <c r="Y97" s="115"/>
      <c r="Z97" s="115"/>
      <c r="AA97" s="63"/>
    </row>
    <row r="98" spans="2:27" ht="15.75" x14ac:dyDescent="0.3">
      <c r="B98" s="3"/>
      <c r="C98" s="3"/>
      <c r="D98" s="8" t="str">
        <f>C218</f>
        <v>Oberflächenschutzsysteme</v>
      </c>
      <c r="E98" s="9">
        <f>'Referenz Pflasterwerk'!S62</f>
        <v>0</v>
      </c>
      <c r="F98" s="9">
        <f>H218</f>
        <v>0</v>
      </c>
      <c r="G98" s="9">
        <f>H297</f>
        <v>0</v>
      </c>
      <c r="H98" s="3" t="s">
        <v>164</v>
      </c>
      <c r="I98" s="3"/>
      <c r="J98" s="3"/>
      <c r="K98" s="3"/>
      <c r="L98" s="29" t="s">
        <v>32</v>
      </c>
      <c r="M98" s="32">
        <f>'Referenz Pflasterwerk'!$U$16+'Referenz Pflasterwerk'!U21</f>
        <v>8.2422000000000004</v>
      </c>
      <c r="N98" s="32">
        <f>J168+J173</f>
        <v>8.2422000000000004</v>
      </c>
      <c r="O98" s="32">
        <f>J247+J252</f>
        <v>8.2422000000000004</v>
      </c>
      <c r="P98" s="25" t="s">
        <v>164</v>
      </c>
      <c r="Q98" s="3"/>
      <c r="R98" s="3"/>
      <c r="S98" s="3"/>
      <c r="T98" s="8" t="s">
        <v>155</v>
      </c>
      <c r="U98" s="55">
        <v>0</v>
      </c>
      <c r="V98" s="55">
        <f>S185</f>
        <v>0</v>
      </c>
      <c r="W98" s="55">
        <f>S264</f>
        <v>0</v>
      </c>
      <c r="X98" s="3"/>
      <c r="Y98" s="115"/>
      <c r="Z98" s="115"/>
      <c r="AA98" s="63"/>
    </row>
    <row r="99" spans="2:27" ht="15.75" x14ac:dyDescent="0.3">
      <c r="B99" s="3"/>
      <c r="C99" s="3"/>
      <c r="D99" s="29" t="str">
        <f>C223</f>
        <v>Oberflächenbearbeitung (vor/nach Erhärtung)</v>
      </c>
      <c r="E99" s="26">
        <f>'Referenz Pflasterwerk'!S67</f>
        <v>0</v>
      </c>
      <c r="F99" s="26">
        <f>H223</f>
        <v>0</v>
      </c>
      <c r="G99" s="26">
        <f>H302</f>
        <v>0</v>
      </c>
      <c r="H99" s="25" t="s">
        <v>164</v>
      </c>
      <c r="I99" s="3"/>
      <c r="J99" s="3"/>
      <c r="K99" s="3"/>
      <c r="L99" s="8" t="s">
        <v>33</v>
      </c>
      <c r="M99" s="10">
        <f>'Referenz Pflasterwerk'!$U$17+'Referenz Pflasterwerk'!U22</f>
        <v>2.6676000000000002</v>
      </c>
      <c r="N99" s="10">
        <f>J169+J174</f>
        <v>2.6676000000000002</v>
      </c>
      <c r="O99" s="10">
        <f>J248+J253</f>
        <v>2.6676000000000002</v>
      </c>
      <c r="P99" s="3" t="s">
        <v>164</v>
      </c>
      <c r="Q99" s="3"/>
      <c r="R99" s="3"/>
      <c r="S99" s="3"/>
      <c r="T99" s="59" t="s">
        <v>162</v>
      </c>
      <c r="U99" s="61">
        <v>0</v>
      </c>
      <c r="V99" s="61">
        <f>S186</f>
        <v>0</v>
      </c>
      <c r="W99" s="61">
        <f>S265</f>
        <v>0</v>
      </c>
      <c r="X99" s="3"/>
      <c r="Y99" s="115"/>
      <c r="Z99" s="115"/>
      <c r="AA99" s="63"/>
    </row>
    <row r="100" spans="2:27" ht="15.75" x14ac:dyDescent="0.3">
      <c r="B100" s="3"/>
      <c r="C100" s="3"/>
      <c r="D100" s="8" t="str">
        <f>D228</f>
        <v>Verpackungsmaterial</v>
      </c>
      <c r="E100" s="9">
        <f>'Referenz Pflasterwerk'!S72</f>
        <v>161.20000000000002</v>
      </c>
      <c r="F100" s="9">
        <f>H228</f>
        <v>161.20000000000002</v>
      </c>
      <c r="G100" s="9">
        <f>H307</f>
        <v>161.20000000000002</v>
      </c>
      <c r="H100" s="3" t="s">
        <v>164</v>
      </c>
      <c r="I100" s="3"/>
      <c r="J100" s="3"/>
      <c r="K100" s="3"/>
      <c r="L100" s="29" t="s">
        <v>34</v>
      </c>
      <c r="M100" s="32">
        <f>'Referenz Pflasterwerk'!$U$18+'Referenz Pflasterwerk'!R24</f>
        <v>286.5</v>
      </c>
      <c r="N100" s="32">
        <f>J170+J176</f>
        <v>208.15407848118898</v>
      </c>
      <c r="O100" s="32">
        <f>J249+J255</f>
        <v>102.58759141018427</v>
      </c>
      <c r="P100" s="25" t="s">
        <v>164</v>
      </c>
      <c r="Q100" s="3"/>
      <c r="R100" s="3"/>
      <c r="S100" s="3"/>
      <c r="T100" s="57" t="s">
        <v>156</v>
      </c>
      <c r="U100" s="58">
        <f>SUM(U101:U103)</f>
        <v>272843.09601517254</v>
      </c>
      <c r="V100" s="58">
        <f t="shared" ref="V100:W100" si="2">SUM(V101:V103)</f>
        <v>487075.16938978236</v>
      </c>
      <c r="W100" s="58">
        <f t="shared" si="2"/>
        <v>856228.03605225065</v>
      </c>
      <c r="X100" s="3"/>
      <c r="Y100" s="115"/>
      <c r="Z100" s="115"/>
      <c r="AA100" s="63"/>
    </row>
    <row r="101" spans="2:27" ht="16.5" thickBot="1" x14ac:dyDescent="0.35">
      <c r="B101" s="3"/>
      <c r="C101" s="3"/>
      <c r="D101" s="27" t="s">
        <v>70</v>
      </c>
      <c r="E101" s="28">
        <f>SUM(E89:E100)</f>
        <v>10520.622960446897</v>
      </c>
      <c r="F101" s="28">
        <f>SUM(F89:F100)</f>
        <v>10509.137694465082</v>
      </c>
      <c r="G101" s="28">
        <f>SUM(G89:G100)</f>
        <v>10493.661979082945</v>
      </c>
      <c r="H101" s="27" t="s">
        <v>165</v>
      </c>
      <c r="I101" s="3"/>
      <c r="J101" s="3"/>
      <c r="K101" s="3"/>
      <c r="L101" s="8" t="s">
        <v>129</v>
      </c>
      <c r="M101" s="10">
        <f>'Referenz Pflasterwerk'!$U$19</f>
        <v>0</v>
      </c>
      <c r="N101" s="10">
        <f>J171</f>
        <v>0</v>
      </c>
      <c r="O101" s="10">
        <f>J250</f>
        <v>0</v>
      </c>
      <c r="P101" s="3" t="s">
        <v>164</v>
      </c>
      <c r="Q101" s="3"/>
      <c r="R101" s="3"/>
      <c r="S101" s="3"/>
      <c r="T101" s="31" t="s">
        <v>157</v>
      </c>
      <c r="U101" s="52">
        <f>'Referenz Pflasterwerk'!AB26</f>
        <v>2665.0220039999999</v>
      </c>
      <c r="V101" s="52">
        <f>S189</f>
        <v>4797.0396071999994</v>
      </c>
      <c r="W101" s="52">
        <f>S268</f>
        <v>8528.0704127999998</v>
      </c>
      <c r="X101" s="3"/>
      <c r="Y101" s="115"/>
      <c r="Z101" s="115"/>
      <c r="AA101" s="63"/>
    </row>
    <row r="102" spans="2:27" ht="16.5" thickTop="1" x14ac:dyDescent="0.3">
      <c r="B102" s="3"/>
      <c r="C102" s="3"/>
      <c r="D102" s="3"/>
      <c r="E102" s="3"/>
      <c r="F102" s="3"/>
      <c r="G102" s="3"/>
      <c r="H102" s="3"/>
      <c r="I102" s="3"/>
      <c r="J102" s="3"/>
      <c r="K102" s="3"/>
      <c r="L102" s="29" t="s">
        <v>125</v>
      </c>
      <c r="M102" s="32">
        <f>'Referenz Pflasterwerk'!$U$25</f>
        <v>0</v>
      </c>
      <c r="N102" s="32">
        <f>J177</f>
        <v>0</v>
      </c>
      <c r="O102" s="32">
        <f>J256</f>
        <v>0</v>
      </c>
      <c r="P102" s="25" t="s">
        <v>164</v>
      </c>
      <c r="Q102" s="3"/>
      <c r="R102" s="3"/>
      <c r="S102" s="3"/>
      <c r="T102" s="31" t="s">
        <v>158</v>
      </c>
      <c r="U102" s="52">
        <f>'Referenz Pflasterwerk'!AB27</f>
        <v>7162.5</v>
      </c>
      <c r="V102" s="52">
        <f>S190</f>
        <v>9366.9335316535035</v>
      </c>
      <c r="W102" s="52">
        <f>S269</f>
        <v>8207.0073128147415</v>
      </c>
      <c r="X102" s="3"/>
      <c r="Y102" s="115"/>
      <c r="Z102" s="115"/>
      <c r="AA102" s="63"/>
    </row>
    <row r="103" spans="2:27" ht="15.75" x14ac:dyDescent="0.3">
      <c r="B103" s="3"/>
      <c r="C103" s="3"/>
      <c r="D103" s="3"/>
      <c r="E103" s="3"/>
      <c r="F103" s="3"/>
      <c r="G103" s="3"/>
      <c r="H103" s="3"/>
      <c r="I103" s="3"/>
      <c r="J103" s="3"/>
      <c r="K103" s="3"/>
      <c r="L103" s="8" t="s">
        <v>151</v>
      </c>
      <c r="M103" s="10">
        <f>'Referenz Pflasterwerk'!$U$26</f>
        <v>0</v>
      </c>
      <c r="N103" s="10">
        <f>J178</f>
        <v>0</v>
      </c>
      <c r="O103" s="10">
        <f>J257</f>
        <v>0</v>
      </c>
      <c r="P103" s="3" t="s">
        <v>164</v>
      </c>
      <c r="Q103" s="3"/>
      <c r="R103" s="3"/>
      <c r="S103" s="3"/>
      <c r="T103" s="31" t="s">
        <v>159</v>
      </c>
      <c r="U103" s="52">
        <f>'Referenz Pflasterwerk'!AB28</f>
        <v>263015.57401117252</v>
      </c>
      <c r="V103" s="52">
        <f>S191</f>
        <v>472911.19625092886</v>
      </c>
      <c r="W103" s="52">
        <f>S270</f>
        <v>839492.95832663588</v>
      </c>
      <c r="X103" s="3"/>
      <c r="Y103" s="115"/>
      <c r="Z103" s="115"/>
      <c r="AA103" s="63"/>
    </row>
    <row r="104" spans="2:27" ht="16.5" thickBot="1" x14ac:dyDescent="0.35">
      <c r="B104" s="3"/>
      <c r="C104" s="3"/>
      <c r="D104" s="3"/>
      <c r="E104" s="3"/>
      <c r="F104" s="3"/>
      <c r="G104" s="3"/>
      <c r="H104" s="3"/>
      <c r="I104" s="3"/>
      <c r="J104" s="3"/>
      <c r="K104" s="3"/>
      <c r="L104" s="29" t="s">
        <v>35</v>
      </c>
      <c r="M104" s="32">
        <f>'Referenz Pflasterwerk'!$U$28+'Referenz Pflasterwerk'!$U$29</f>
        <v>95.691080159999984</v>
      </c>
      <c r="N104" s="32">
        <f>J180+J181</f>
        <v>95.691080159999984</v>
      </c>
      <c r="O104" s="32">
        <f>J259+J260</f>
        <v>95.691080159999984</v>
      </c>
      <c r="P104" s="25" t="s">
        <v>164</v>
      </c>
      <c r="Q104" s="3"/>
      <c r="R104" s="3"/>
      <c r="S104" s="3"/>
      <c r="T104" s="27" t="s">
        <v>70</v>
      </c>
      <c r="U104" s="56">
        <f>U100+U99+U98+U97+U89</f>
        <v>445512.09601517254</v>
      </c>
      <c r="V104" s="56">
        <f t="shared" ref="V104:W104" si="3">V100+V99+V98+V97+V89</f>
        <v>659744.16938978236</v>
      </c>
      <c r="W104" s="56">
        <f t="shared" si="3"/>
        <v>1028897.0360522507</v>
      </c>
      <c r="X104" s="3"/>
      <c r="Y104" s="115"/>
      <c r="Z104" s="115"/>
      <c r="AA104" s="63"/>
    </row>
    <row r="105" spans="2:27" ht="15.75" thickTop="1" thickBot="1" x14ac:dyDescent="0.3">
      <c r="B105" s="3"/>
      <c r="C105" s="3"/>
      <c r="D105" s="3"/>
      <c r="E105" s="3"/>
      <c r="F105" s="3"/>
      <c r="G105" s="3"/>
      <c r="H105" s="3"/>
      <c r="I105" s="3"/>
      <c r="J105" s="3"/>
      <c r="K105" s="3"/>
      <c r="L105" s="27" t="s">
        <v>70</v>
      </c>
      <c r="M105" s="33">
        <f>SUM(M98:M104)</f>
        <v>393.10088015999997</v>
      </c>
      <c r="N105" s="33">
        <f>SUM(N98:N104)</f>
        <v>314.75495864118898</v>
      </c>
      <c r="O105" s="33">
        <f>SUM(O98:O104)</f>
        <v>209.18847157018428</v>
      </c>
      <c r="P105" s="27" t="s">
        <v>165</v>
      </c>
      <c r="Q105" s="3"/>
      <c r="R105" s="3"/>
      <c r="S105" s="3"/>
      <c r="T105" s="3"/>
      <c r="U105" s="3"/>
      <c r="V105" s="3"/>
      <c r="W105" s="3"/>
      <c r="X105" s="3"/>
      <c r="Y105" s="63"/>
      <c r="Z105" s="63"/>
      <c r="AA105" s="63"/>
    </row>
    <row r="106" spans="2:27" ht="17.25" thickTop="1" thickBot="1" x14ac:dyDescent="0.35">
      <c r="B106" s="3"/>
      <c r="C106" s="3"/>
      <c r="D106" s="3"/>
      <c r="E106" s="3"/>
      <c r="F106" s="3"/>
      <c r="G106" s="3"/>
      <c r="H106" s="3"/>
      <c r="I106" s="3"/>
      <c r="J106" s="3"/>
      <c r="K106" s="3"/>
      <c r="L106" s="3"/>
      <c r="M106" s="3"/>
      <c r="N106" s="3"/>
      <c r="O106" s="3"/>
      <c r="P106" s="3"/>
      <c r="Q106" s="3"/>
      <c r="R106" s="3"/>
      <c r="S106" s="3"/>
      <c r="T106" s="104" t="s">
        <v>211</v>
      </c>
      <c r="U106" s="105">
        <f>U104-U103</f>
        <v>182496.52200400003</v>
      </c>
      <c r="V106" s="105">
        <f>V104-V103</f>
        <v>186832.9731388535</v>
      </c>
      <c r="W106" s="105">
        <f>W104-W103</f>
        <v>189404.07772561477</v>
      </c>
      <c r="X106" s="3"/>
      <c r="Y106" s="3"/>
      <c r="Z106" s="3"/>
      <c r="AA106" s="3"/>
    </row>
    <row r="107" spans="2:27" ht="16.5" thickBot="1" x14ac:dyDescent="0.35">
      <c r="B107" s="3"/>
      <c r="C107" s="3"/>
      <c r="D107" s="3"/>
      <c r="E107" s="3"/>
      <c r="F107" s="3"/>
      <c r="G107" s="3"/>
      <c r="H107" s="3"/>
      <c r="I107" s="3"/>
      <c r="J107" s="3"/>
      <c r="K107" s="3"/>
      <c r="L107" s="3"/>
      <c r="M107" s="3"/>
      <c r="N107" s="3"/>
      <c r="O107" s="3"/>
      <c r="P107" s="3"/>
      <c r="Q107" s="3"/>
      <c r="R107" s="3"/>
      <c r="S107" s="3"/>
      <c r="T107" s="106" t="s">
        <v>161</v>
      </c>
      <c r="U107" s="107">
        <f>U104-U100</f>
        <v>172669</v>
      </c>
      <c r="V107" s="107">
        <f>V104-V100</f>
        <v>172669</v>
      </c>
      <c r="W107" s="107">
        <f>W104-W100</f>
        <v>172669</v>
      </c>
      <c r="X107" s="3"/>
      <c r="Y107" s="3"/>
      <c r="Z107" s="3"/>
      <c r="AA107" s="3"/>
    </row>
    <row r="108" spans="2:27"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2:27"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2:27" x14ac:dyDescent="0.2">
      <c r="B110" s="3"/>
      <c r="C110" s="3"/>
      <c r="D110" s="3"/>
      <c r="E110" s="3"/>
      <c r="F110" s="3"/>
      <c r="G110" s="3"/>
      <c r="H110" s="3"/>
      <c r="I110" s="3"/>
      <c r="J110" s="3"/>
      <c r="K110" s="3"/>
      <c r="L110" s="8"/>
      <c r="M110" s="82"/>
      <c r="N110" s="82"/>
      <c r="O110" s="82"/>
      <c r="P110" s="8"/>
      <c r="Q110" s="3"/>
      <c r="R110" s="3"/>
      <c r="S110" s="3"/>
      <c r="T110" s="3"/>
      <c r="U110" s="3"/>
      <c r="V110" s="3"/>
      <c r="W110" s="3"/>
      <c r="X110" s="3"/>
      <c r="Y110" s="3"/>
      <c r="Z110" s="3"/>
      <c r="AA110" s="3"/>
    </row>
    <row r="111" spans="2:27" x14ac:dyDescent="0.2">
      <c r="B111" s="3"/>
      <c r="C111" s="3"/>
      <c r="D111" s="3"/>
      <c r="E111" s="3"/>
      <c r="F111" s="3"/>
      <c r="G111" s="3"/>
      <c r="H111" s="3"/>
      <c r="I111" s="3"/>
      <c r="J111" s="3"/>
      <c r="K111" s="3"/>
      <c r="L111" s="8"/>
      <c r="M111" s="82"/>
      <c r="N111" s="82"/>
      <c r="O111" s="82"/>
      <c r="P111" s="8"/>
      <c r="Q111" s="3"/>
      <c r="R111" s="3"/>
      <c r="S111" s="3"/>
      <c r="T111" s="3"/>
      <c r="U111" s="3"/>
      <c r="V111" s="3"/>
      <c r="W111" s="3"/>
      <c r="X111" s="3"/>
      <c r="Y111" s="3"/>
      <c r="Z111" s="3"/>
      <c r="AA111" s="3"/>
    </row>
    <row r="112" spans="2:27" ht="15" x14ac:dyDescent="0.25">
      <c r="B112" s="3"/>
      <c r="C112" s="3"/>
      <c r="D112" s="3"/>
      <c r="E112" s="3"/>
      <c r="F112" s="3"/>
      <c r="G112" s="3"/>
      <c r="H112" s="3"/>
      <c r="I112" s="3"/>
      <c r="J112" s="3"/>
      <c r="K112" s="3"/>
      <c r="L112" s="23" t="s">
        <v>209</v>
      </c>
      <c r="M112" s="3"/>
      <c r="N112" s="3"/>
      <c r="O112" s="3"/>
      <c r="P112" s="3"/>
      <c r="Q112" s="3"/>
      <c r="R112" s="3"/>
      <c r="S112" s="3"/>
      <c r="T112" s="3"/>
      <c r="U112" s="3"/>
      <c r="V112" s="3"/>
      <c r="W112" s="3"/>
      <c r="X112" s="3"/>
      <c r="Y112" s="3"/>
      <c r="Z112" s="3"/>
      <c r="AA112" s="3"/>
    </row>
    <row r="113" spans="2:27" ht="15" x14ac:dyDescent="0.25">
      <c r="B113" s="3"/>
      <c r="C113" s="3"/>
      <c r="D113" s="3"/>
      <c r="E113" s="3"/>
      <c r="F113" s="3"/>
      <c r="G113" s="3"/>
      <c r="H113" s="3"/>
      <c r="I113" s="3"/>
      <c r="J113" s="3"/>
      <c r="K113" s="3"/>
      <c r="L113" s="34"/>
      <c r="M113" s="46">
        <v>2020</v>
      </c>
      <c r="N113" s="47">
        <v>2025</v>
      </c>
      <c r="O113" s="47">
        <v>2030</v>
      </c>
      <c r="P113" s="34"/>
      <c r="Q113" s="3"/>
      <c r="R113" s="3"/>
      <c r="S113" s="3"/>
      <c r="T113" s="3"/>
      <c r="U113" s="3"/>
      <c r="V113" s="3"/>
      <c r="W113" s="3"/>
      <c r="X113" s="3"/>
      <c r="Y113" s="3"/>
      <c r="Z113" s="3"/>
      <c r="AA113" s="3"/>
    </row>
    <row r="114" spans="2:27" x14ac:dyDescent="0.2">
      <c r="B114" s="3"/>
      <c r="C114" s="3"/>
      <c r="D114" s="3"/>
      <c r="E114" s="3"/>
      <c r="F114" s="3"/>
      <c r="G114" s="3"/>
      <c r="H114" s="3"/>
      <c r="I114" s="3"/>
      <c r="J114" s="3"/>
      <c r="K114" s="3"/>
      <c r="L114" s="24"/>
      <c r="M114" s="48" t="s">
        <v>92</v>
      </c>
      <c r="N114" s="49"/>
      <c r="O114" s="49"/>
      <c r="P114" s="24"/>
      <c r="Q114" s="3"/>
      <c r="R114" s="3"/>
      <c r="S114" s="3"/>
      <c r="T114" s="3"/>
      <c r="U114" s="3"/>
      <c r="V114" s="3"/>
      <c r="W114" s="3"/>
      <c r="X114" s="3"/>
      <c r="Y114" s="3"/>
      <c r="Z114" s="3"/>
      <c r="AA114" s="3"/>
    </row>
    <row r="115" spans="2:27" ht="15.75" x14ac:dyDescent="0.3">
      <c r="B115" s="3"/>
      <c r="C115" s="3"/>
      <c r="D115" s="3"/>
      <c r="E115" s="3"/>
      <c r="F115" s="3"/>
      <c r="G115" s="3"/>
      <c r="H115" s="3"/>
      <c r="I115" s="3"/>
      <c r="J115" s="3"/>
      <c r="K115" s="3"/>
      <c r="L115" s="29" t="s">
        <v>118</v>
      </c>
      <c r="M115" s="97">
        <f>M89/IF(NOT(ISBLANK('Referenz Pflasterwerk'!$I$12)),'Referenz Pflasterwerk'!$I$12,'Referenz Pflasterwerk'!$F$12)</f>
        <v>1.0660088015999999E-3</v>
      </c>
      <c r="N115" s="97">
        <f>N89/IF(NOT(ISBLANK('Referenz Pflasterwerk'!$I$12)),'Referenz Pflasterwerk'!$I$12,'Referenz Pflasterwerk'!$F$12)</f>
        <v>1.0660088015999999E-3</v>
      </c>
      <c r="O115" s="97">
        <f>O89/IF(NOT(ISBLANK('Referenz Pflasterwerk'!$I$12)),'Referenz Pflasterwerk'!$I$12,'Referenz Pflasterwerk'!$F$12)</f>
        <v>1.0660088015999999E-3</v>
      </c>
      <c r="P115" s="25" t="s">
        <v>208</v>
      </c>
      <c r="Q115" s="3"/>
      <c r="R115" s="3"/>
      <c r="S115" s="3"/>
      <c r="T115" s="3"/>
      <c r="U115" s="3"/>
      <c r="V115" s="3"/>
      <c r="W115" s="3"/>
      <c r="X115" s="3"/>
      <c r="Y115" s="3"/>
      <c r="Z115" s="3"/>
      <c r="AA115" s="3"/>
    </row>
    <row r="116" spans="2:27" ht="15.75" x14ac:dyDescent="0.3">
      <c r="B116" s="3"/>
      <c r="C116" s="3"/>
      <c r="D116" s="3"/>
      <c r="E116" s="3"/>
      <c r="F116" s="3"/>
      <c r="G116" s="3"/>
      <c r="H116" s="3"/>
      <c r="I116" s="3"/>
      <c r="J116" s="3"/>
      <c r="K116" s="3"/>
      <c r="L116" s="8" t="s">
        <v>28</v>
      </c>
      <c r="M116" s="98">
        <f>M90/IF(NOT(ISBLANK('Referenz Pflasterwerk'!$I$12)),'Referenz Pflasterwerk'!$I$12,'Referenz Pflasterwerk'!$F$12)</f>
        <v>2.8649999999999999E-3</v>
      </c>
      <c r="N116" s="98">
        <f>N90/IF(NOT(ISBLANK('Referenz Pflasterwerk'!$I$12)),'Referenz Pflasterwerk'!$I$12,'Referenz Pflasterwerk'!$F$12)</f>
        <v>2.0815407848118897E-3</v>
      </c>
      <c r="O116" s="98">
        <f>O90/IF(NOT(ISBLANK('Referenz Pflasterwerk'!$I$12)),'Referenz Pflasterwerk'!$I$12,'Referenz Pflasterwerk'!$F$12)</f>
        <v>1.0258759141018427E-3</v>
      </c>
      <c r="P116" s="3" t="s">
        <v>208</v>
      </c>
      <c r="Q116" s="3"/>
      <c r="R116" s="3"/>
      <c r="S116" s="3"/>
      <c r="T116" s="3"/>
      <c r="U116" s="3"/>
      <c r="V116" s="3"/>
      <c r="W116" s="3"/>
      <c r="X116" s="3"/>
      <c r="Y116" s="3"/>
      <c r="Z116" s="3"/>
      <c r="AA116" s="3"/>
    </row>
    <row r="117" spans="2:27" ht="15.75" x14ac:dyDescent="0.3">
      <c r="B117" s="3"/>
      <c r="C117" s="3"/>
      <c r="D117" s="3"/>
      <c r="E117" s="3"/>
      <c r="F117" s="3"/>
      <c r="G117" s="3"/>
      <c r="H117" s="3"/>
      <c r="I117" s="3"/>
      <c r="J117" s="3"/>
      <c r="K117" s="3"/>
      <c r="L117" s="29" t="s">
        <v>29</v>
      </c>
      <c r="M117" s="97">
        <f>M91/IF(NOT(ISBLANK('Referenz Pflasterwerk'!$I$12)),'Referenz Pflasterwerk'!$I$12,'Referenz Pflasterwerk'!$F$12)</f>
        <v>0.10520622960446901</v>
      </c>
      <c r="N117" s="97">
        <f>N91/IF(NOT(ISBLANK('Referenz Pflasterwerk'!$I$12)),'Referenz Pflasterwerk'!$I$12,'Referenz Pflasterwerk'!$F$12)</f>
        <v>0.10509137694465086</v>
      </c>
      <c r="O117" s="97">
        <f>O91/IF(NOT(ISBLANK('Referenz Pflasterwerk'!$I$12)),'Referenz Pflasterwerk'!$I$12,'Referenz Pflasterwerk'!$F$12)</f>
        <v>0.10493661979082948</v>
      </c>
      <c r="P117" s="25" t="s">
        <v>208</v>
      </c>
      <c r="Q117" s="3"/>
      <c r="R117" s="3"/>
      <c r="S117" s="3"/>
      <c r="T117" s="3"/>
      <c r="U117" s="3"/>
      <c r="V117" s="3"/>
      <c r="W117" s="3"/>
      <c r="X117" s="3"/>
      <c r="Y117" s="3"/>
      <c r="Z117" s="3"/>
      <c r="AA117" s="3"/>
    </row>
    <row r="118" spans="2:27" ht="15" thickBot="1" x14ac:dyDescent="0.3">
      <c r="B118" s="3"/>
      <c r="C118" s="3"/>
      <c r="D118" s="3"/>
      <c r="E118" s="3"/>
      <c r="F118" s="3"/>
      <c r="G118" s="3"/>
      <c r="H118" s="3"/>
      <c r="I118" s="3"/>
      <c r="J118" s="3"/>
      <c r="K118" s="3"/>
      <c r="L118" s="27" t="s">
        <v>70</v>
      </c>
      <c r="M118" s="99">
        <f>M92/IF(NOT(ISBLANK('Referenz Pflasterwerk'!$I$12)),'Referenz Pflasterwerk'!$I$12,'Referenz Pflasterwerk'!$F$12)</f>
        <v>0.10913723840606901</v>
      </c>
      <c r="N118" s="99">
        <f>N92/IF(NOT(ISBLANK('Referenz Pflasterwerk'!$I$12)),'Referenz Pflasterwerk'!$I$12,'Referenz Pflasterwerk'!$F$12)</f>
        <v>0.10823892653106275</v>
      </c>
      <c r="O118" s="99">
        <f>O92/IF(NOT(ISBLANK('Referenz Pflasterwerk'!$I$12)),'Referenz Pflasterwerk'!$I$12,'Referenz Pflasterwerk'!$F$12)</f>
        <v>0.10702850450653131</v>
      </c>
      <c r="P118" s="27" t="s">
        <v>210</v>
      </c>
      <c r="Q118" s="3"/>
      <c r="R118" s="3"/>
      <c r="S118" s="3"/>
      <c r="T118" s="3"/>
      <c r="U118" s="3"/>
      <c r="V118" s="3"/>
      <c r="W118" s="3"/>
      <c r="X118" s="3"/>
      <c r="Y118" s="3"/>
      <c r="Z118" s="3"/>
      <c r="AA118" s="3"/>
    </row>
    <row r="119" spans="2:27" ht="13.5" thickTop="1"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2:27"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2:27"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4" spans="2:27" hidden="1" outlineLevel="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2:27" ht="15.75" hidden="1" outlineLevel="1" x14ac:dyDescent="0.25">
      <c r="B125" s="3"/>
      <c r="C125" s="3"/>
      <c r="D125" s="62" t="s">
        <v>146</v>
      </c>
      <c r="E125" s="3"/>
      <c r="F125" s="3"/>
      <c r="G125" s="3"/>
      <c r="H125" s="3"/>
      <c r="I125" s="3"/>
      <c r="J125" s="3"/>
      <c r="K125" s="3"/>
      <c r="L125" s="62" t="s">
        <v>146</v>
      </c>
      <c r="M125" s="3"/>
      <c r="N125" s="3"/>
      <c r="O125" s="3"/>
      <c r="P125" s="3"/>
      <c r="Q125" s="3"/>
      <c r="R125" s="3"/>
      <c r="S125" s="62" t="s">
        <v>146</v>
      </c>
      <c r="T125" s="24"/>
      <c r="U125" s="24"/>
      <c r="V125" s="24"/>
      <c r="W125" s="24"/>
      <c r="X125" s="3"/>
      <c r="Y125" s="3"/>
    </row>
    <row r="126" spans="2:27" ht="15" hidden="1" outlineLevel="1" x14ac:dyDescent="0.25">
      <c r="B126" s="3"/>
      <c r="C126" s="3"/>
      <c r="D126" s="35" t="s">
        <v>116</v>
      </c>
      <c r="E126" s="35">
        <v>2020</v>
      </c>
      <c r="F126" s="35">
        <v>2025</v>
      </c>
      <c r="G126" s="35">
        <v>2030</v>
      </c>
      <c r="H126" s="34"/>
      <c r="I126" s="3"/>
      <c r="J126" s="3"/>
      <c r="K126" s="3"/>
      <c r="L126" s="35" t="s">
        <v>265</v>
      </c>
      <c r="M126" s="35">
        <v>2020</v>
      </c>
      <c r="N126" s="35">
        <v>2025</v>
      </c>
      <c r="O126" s="35">
        <v>2030</v>
      </c>
      <c r="P126" s="34"/>
      <c r="Q126" s="3"/>
      <c r="R126" s="3"/>
      <c r="S126" s="3"/>
      <c r="T126" s="46" t="s">
        <v>200</v>
      </c>
      <c r="U126" s="47">
        <v>2020</v>
      </c>
      <c r="V126" s="47">
        <v>2025</v>
      </c>
      <c r="W126" s="47">
        <v>2030</v>
      </c>
      <c r="X126" s="3"/>
      <c r="Y126" s="3"/>
    </row>
    <row r="127" spans="2:27" hidden="1" outlineLevel="1" x14ac:dyDescent="0.2">
      <c r="B127" s="3"/>
      <c r="C127" s="3"/>
      <c r="D127" s="24"/>
      <c r="E127" s="60" t="s">
        <v>92</v>
      </c>
      <c r="F127" s="59"/>
      <c r="G127" s="59"/>
      <c r="H127" s="24"/>
      <c r="I127" s="3"/>
      <c r="J127" s="3"/>
      <c r="K127" s="3"/>
      <c r="L127" s="24"/>
      <c r="M127" s="60" t="s">
        <v>92</v>
      </c>
      <c r="N127" s="59"/>
      <c r="O127" s="59"/>
      <c r="P127" s="24"/>
      <c r="Q127" s="3"/>
      <c r="R127" s="3"/>
      <c r="S127" s="3"/>
      <c r="T127" s="24"/>
      <c r="U127" s="50" t="s">
        <v>92</v>
      </c>
      <c r="V127" s="50"/>
      <c r="W127" s="59"/>
      <c r="X127" s="3"/>
      <c r="Y127" s="3"/>
    </row>
    <row r="128" spans="2:27" ht="15.75" hidden="1" outlineLevel="1" x14ac:dyDescent="0.3">
      <c r="B128" s="3"/>
      <c r="C128" s="3"/>
      <c r="D128" s="3" t="str">
        <f t="shared" ref="D128:D134" si="4">IF($I128,L98,"")</f>
        <v>Erdgas</v>
      </c>
      <c r="E128" s="10">
        <f t="shared" ref="E128:G134" si="5">IF($I128,M98,NA())</f>
        <v>8.2422000000000004</v>
      </c>
      <c r="F128" s="10">
        <f t="shared" si="5"/>
        <v>8.2422000000000004</v>
      </c>
      <c r="G128" s="10">
        <f t="shared" si="5"/>
        <v>8.2422000000000004</v>
      </c>
      <c r="H128" s="3" t="s">
        <v>164</v>
      </c>
      <c r="I128" s="3" t="b">
        <v>1</v>
      </c>
      <c r="J128" s="3"/>
      <c r="K128" s="3"/>
      <c r="L128" s="3" t="str">
        <f t="shared" ref="L128:L139" si="6">IF($Q128,D89,"")</f>
        <v>Energieträger gesamt</v>
      </c>
      <c r="M128" s="9">
        <f t="shared" ref="M128:O139" si="7">IF($Q128,E89,NA())</f>
        <v>60.712972560000004</v>
      </c>
      <c r="N128" s="9">
        <f t="shared" si="7"/>
        <v>49.22770657818478</v>
      </c>
      <c r="O128" s="9">
        <f t="shared" si="7"/>
        <v>33.751991196047953</v>
      </c>
      <c r="P128" s="3" t="s">
        <v>164</v>
      </c>
      <c r="Q128" s="361" t="b">
        <v>1</v>
      </c>
      <c r="R128" s="3"/>
      <c r="S128" s="3"/>
      <c r="T128" s="57" t="s">
        <v>160</v>
      </c>
      <c r="U128" s="58">
        <f>SUM(U129:U135)</f>
        <v>172669</v>
      </c>
      <c r="V128" s="58">
        <f t="shared" ref="V128:W128" si="8">SUM(V129:V135)</f>
        <v>172669</v>
      </c>
      <c r="W128" s="58">
        <f t="shared" si="8"/>
        <v>172669</v>
      </c>
      <c r="X128" s="3"/>
      <c r="Y128" s="3"/>
    </row>
    <row r="129" spans="2:25" ht="15.75" hidden="1" outlineLevel="1" x14ac:dyDescent="0.3">
      <c r="B129" s="3"/>
      <c r="C129" s="3"/>
      <c r="D129" s="3" t="str">
        <f t="shared" si="4"/>
        <v>Heizöl</v>
      </c>
      <c r="E129" s="10">
        <f t="shared" si="5"/>
        <v>2.6676000000000002</v>
      </c>
      <c r="F129" s="10">
        <f t="shared" si="5"/>
        <v>2.6676000000000002</v>
      </c>
      <c r="G129" s="10">
        <f t="shared" si="5"/>
        <v>2.6676000000000002</v>
      </c>
      <c r="H129" s="3" t="s">
        <v>164</v>
      </c>
      <c r="I129" s="3" t="b">
        <v>1</v>
      </c>
      <c r="J129" s="3"/>
      <c r="K129" s="3"/>
      <c r="L129" s="3" t="str">
        <f t="shared" si="6"/>
        <v>Transport gesamt</v>
      </c>
      <c r="M129" s="9">
        <f t="shared" si="7"/>
        <v>578.62626120000004</v>
      </c>
      <c r="N129" s="9">
        <f t="shared" si="7"/>
        <v>578.62626120000004</v>
      </c>
      <c r="O129" s="9">
        <f t="shared" si="7"/>
        <v>578.62626120000004</v>
      </c>
      <c r="P129" s="3" t="s">
        <v>164</v>
      </c>
      <c r="Q129" s="361" t="b">
        <v>1</v>
      </c>
      <c r="R129" s="3"/>
      <c r="S129" s="3"/>
      <c r="T129" s="31" t="s">
        <v>32</v>
      </c>
      <c r="U129" s="52">
        <f>U90</f>
        <v>2745</v>
      </c>
      <c r="V129" s="52">
        <f t="shared" ref="V129:W129" si="9">V90</f>
        <v>2745</v>
      </c>
      <c r="W129" s="52">
        <f t="shared" si="9"/>
        <v>2745</v>
      </c>
      <c r="X129" s="3"/>
      <c r="Y129" s="3"/>
    </row>
    <row r="130" spans="2:25" ht="15.75" hidden="1" outlineLevel="1" x14ac:dyDescent="0.3">
      <c r="B130" s="3"/>
      <c r="C130" s="3"/>
      <c r="D130" s="3" t="str">
        <f t="shared" si="4"/>
        <v>Strom</v>
      </c>
      <c r="E130" s="10">
        <f t="shared" si="5"/>
        <v>286.5</v>
      </c>
      <c r="F130" s="10">
        <f t="shared" si="5"/>
        <v>208.15407848118898</v>
      </c>
      <c r="G130" s="10">
        <f t="shared" si="5"/>
        <v>102.58759141018427</v>
      </c>
      <c r="H130" s="3" t="s">
        <v>164</v>
      </c>
      <c r="I130" s="3" t="b">
        <v>1</v>
      </c>
      <c r="J130" s="3"/>
      <c r="K130" s="3"/>
      <c r="L130" s="3" t="str">
        <f t="shared" si="6"/>
        <v>Zement</v>
      </c>
      <c r="M130" s="9">
        <f t="shared" si="7"/>
        <v>7683.24</v>
      </c>
      <c r="N130" s="9">
        <f t="shared" si="7"/>
        <v>7683.24</v>
      </c>
      <c r="O130" s="9">
        <f t="shared" si="7"/>
        <v>7683.24</v>
      </c>
      <c r="P130" s="3" t="s">
        <v>164</v>
      </c>
      <c r="Q130" s="361" t="b">
        <v>1</v>
      </c>
      <c r="R130" s="3"/>
      <c r="S130" s="3"/>
      <c r="T130" s="31" t="s">
        <v>33</v>
      </c>
      <c r="U130" s="52">
        <f t="shared" ref="U130:W135" si="10">U91</f>
        <v>460</v>
      </c>
      <c r="V130" s="52">
        <f t="shared" si="10"/>
        <v>460</v>
      </c>
      <c r="W130" s="52">
        <f t="shared" si="10"/>
        <v>460</v>
      </c>
      <c r="X130" s="3"/>
      <c r="Y130" s="3"/>
    </row>
    <row r="131" spans="2:25" ht="15.75" hidden="1" outlineLevel="1" x14ac:dyDescent="0.3">
      <c r="B131" s="3"/>
      <c r="C131" s="3"/>
      <c r="D131" s="3" t="str">
        <f t="shared" si="4"/>
        <v/>
      </c>
      <c r="E131" s="10" t="e">
        <f t="shared" si="5"/>
        <v>#N/A</v>
      </c>
      <c r="F131" s="10" t="e">
        <f t="shared" si="5"/>
        <v>#N/A</v>
      </c>
      <c r="G131" s="10" t="e">
        <f t="shared" si="5"/>
        <v>#N/A</v>
      </c>
      <c r="H131" s="3" t="s">
        <v>164</v>
      </c>
      <c r="I131" s="3" t="b">
        <v>0</v>
      </c>
      <c r="J131" s="3"/>
      <c r="K131" s="3"/>
      <c r="L131" s="3" t="str">
        <f t="shared" si="6"/>
        <v>Gesteinskörnungen (Zuschlagsstoffe)</v>
      </c>
      <c r="M131" s="9">
        <f t="shared" si="7"/>
        <v>387.03000000000003</v>
      </c>
      <c r="N131" s="9">
        <f t="shared" si="7"/>
        <v>387.03000000000003</v>
      </c>
      <c r="O131" s="9">
        <f t="shared" si="7"/>
        <v>387.03000000000003</v>
      </c>
      <c r="P131" s="3" t="s">
        <v>164</v>
      </c>
      <c r="Q131" s="361" t="b">
        <v>1</v>
      </c>
      <c r="R131" s="3"/>
      <c r="S131" s="3"/>
      <c r="T131" s="31" t="s">
        <v>34</v>
      </c>
      <c r="U131" s="52">
        <f t="shared" si="10"/>
        <v>129000</v>
      </c>
      <c r="V131" s="52">
        <f t="shared" si="10"/>
        <v>129000</v>
      </c>
      <c r="W131" s="52">
        <f t="shared" si="10"/>
        <v>129000</v>
      </c>
      <c r="X131" s="3"/>
      <c r="Y131" s="3"/>
    </row>
    <row r="132" spans="2:25" ht="15.75" hidden="1" outlineLevel="1" x14ac:dyDescent="0.3">
      <c r="B132" s="3"/>
      <c r="C132" s="3"/>
      <c r="D132" s="3" t="str">
        <f t="shared" si="4"/>
        <v/>
      </c>
      <c r="E132" s="10" t="e">
        <f t="shared" si="5"/>
        <v>#N/A</v>
      </c>
      <c r="F132" s="10" t="e">
        <f t="shared" si="5"/>
        <v>#N/A</v>
      </c>
      <c r="G132" s="10" t="e">
        <f t="shared" si="5"/>
        <v>#N/A</v>
      </c>
      <c r="H132" s="3" t="s">
        <v>164</v>
      </c>
      <c r="I132" s="3" t="b">
        <v>0</v>
      </c>
      <c r="J132" s="3"/>
      <c r="K132" s="3"/>
      <c r="L132" s="3" t="str">
        <f t="shared" si="6"/>
        <v>Farben</v>
      </c>
      <c r="M132" s="9">
        <f t="shared" si="7"/>
        <v>1040</v>
      </c>
      <c r="N132" s="9">
        <f t="shared" si="7"/>
        <v>1040</v>
      </c>
      <c r="O132" s="9">
        <f t="shared" si="7"/>
        <v>1040</v>
      </c>
      <c r="P132" s="3" t="s">
        <v>164</v>
      </c>
      <c r="Q132" s="361" t="b">
        <v>1</v>
      </c>
      <c r="R132" s="3"/>
      <c r="S132" s="3"/>
      <c r="T132" s="31" t="s">
        <v>125</v>
      </c>
      <c r="U132" s="52">
        <f t="shared" si="10"/>
        <v>0</v>
      </c>
      <c r="V132" s="52">
        <f t="shared" si="10"/>
        <v>0</v>
      </c>
      <c r="W132" s="52">
        <f t="shared" si="10"/>
        <v>0</v>
      </c>
      <c r="X132" s="3"/>
      <c r="Y132" s="3"/>
    </row>
    <row r="133" spans="2:25" ht="15.75" hidden="1" outlineLevel="1" x14ac:dyDescent="0.3">
      <c r="B133" s="3"/>
      <c r="C133" s="3"/>
      <c r="D133" s="3" t="str">
        <f t="shared" si="4"/>
        <v/>
      </c>
      <c r="E133" s="10" t="e">
        <f t="shared" si="5"/>
        <v>#N/A</v>
      </c>
      <c r="F133" s="10" t="e">
        <f t="shared" si="5"/>
        <v>#N/A</v>
      </c>
      <c r="G133" s="10" t="e">
        <f t="shared" si="5"/>
        <v>#N/A</v>
      </c>
      <c r="H133" s="3" t="s">
        <v>164</v>
      </c>
      <c r="I133" s="3" t="b">
        <v>0</v>
      </c>
      <c r="J133" s="3"/>
      <c r="K133" s="3"/>
      <c r="L133" s="3" t="str">
        <f t="shared" si="6"/>
        <v>Zusatzstoffe (Füllstoffe)</v>
      </c>
      <c r="M133" s="9">
        <f t="shared" si="7"/>
        <v>424.19999999999993</v>
      </c>
      <c r="N133" s="9">
        <f t="shared" si="7"/>
        <v>424.19999999999993</v>
      </c>
      <c r="O133" s="9">
        <f t="shared" si="7"/>
        <v>424.19999999999993</v>
      </c>
      <c r="P133" s="3" t="s">
        <v>164</v>
      </c>
      <c r="Q133" s="361" t="b">
        <v>1</v>
      </c>
      <c r="R133" s="3"/>
      <c r="S133" s="3"/>
      <c r="T133" s="31" t="s">
        <v>126</v>
      </c>
      <c r="U133" s="52">
        <f t="shared" si="10"/>
        <v>0</v>
      </c>
      <c r="V133" s="52">
        <f t="shared" si="10"/>
        <v>0</v>
      </c>
      <c r="W133" s="52">
        <f t="shared" si="10"/>
        <v>0</v>
      </c>
      <c r="X133" s="3"/>
      <c r="Y133" s="3"/>
    </row>
    <row r="134" spans="2:25" ht="15.75" hidden="1" outlineLevel="1" x14ac:dyDescent="0.3">
      <c r="B134" s="3"/>
      <c r="C134" s="3"/>
      <c r="D134" s="3" t="str">
        <f t="shared" si="4"/>
        <v>Diesel</v>
      </c>
      <c r="E134" s="10">
        <f t="shared" si="5"/>
        <v>95.691080159999984</v>
      </c>
      <c r="F134" s="10">
        <f t="shared" si="5"/>
        <v>95.691080159999984</v>
      </c>
      <c r="G134" s="10">
        <f t="shared" si="5"/>
        <v>95.691080159999984</v>
      </c>
      <c r="H134" s="3" t="s">
        <v>164</v>
      </c>
      <c r="I134" s="3" t="b">
        <v>1</v>
      </c>
      <c r="J134" s="3"/>
      <c r="K134" s="3"/>
      <c r="L134" s="3" t="str">
        <f t="shared" si="6"/>
        <v>Zusatzmittel</v>
      </c>
      <c r="M134" s="9">
        <f t="shared" si="7"/>
        <v>185.55932668689491</v>
      </c>
      <c r="N134" s="9">
        <f t="shared" si="7"/>
        <v>185.55932668689491</v>
      </c>
      <c r="O134" s="9">
        <f t="shared" si="7"/>
        <v>185.55932668689491</v>
      </c>
      <c r="P134" s="3" t="s">
        <v>164</v>
      </c>
      <c r="Q134" s="361" t="b">
        <v>1</v>
      </c>
      <c r="R134" s="3"/>
      <c r="S134" s="3"/>
      <c r="T134" s="31" t="s">
        <v>127</v>
      </c>
      <c r="U134" s="52">
        <f t="shared" si="10"/>
        <v>0</v>
      </c>
      <c r="V134" s="52">
        <f t="shared" si="10"/>
        <v>0</v>
      </c>
      <c r="W134" s="52">
        <f t="shared" si="10"/>
        <v>0</v>
      </c>
      <c r="X134" s="3"/>
      <c r="Y134" s="3"/>
    </row>
    <row r="135" spans="2:25" ht="16.5" hidden="1" outlineLevel="1" thickBot="1" x14ac:dyDescent="0.35">
      <c r="B135" s="3"/>
      <c r="C135" s="3"/>
      <c r="D135" s="27" t="s">
        <v>70</v>
      </c>
      <c r="E135" s="33">
        <f>SUMIF($I$128:$I$134,"WAHR",E128:E134)</f>
        <v>393.10088015999997</v>
      </c>
      <c r="F135" s="33">
        <f>SUMIF($I$128:$I$134,"WAHR",F128:F134)</f>
        <v>314.75495864118898</v>
      </c>
      <c r="G135" s="33">
        <f>SUMIF($I$128:$I$134,"WAHR",G128:G134)</f>
        <v>209.18847157018428</v>
      </c>
      <c r="H135" s="27" t="s">
        <v>165</v>
      </c>
      <c r="I135" s="3"/>
      <c r="J135" s="3"/>
      <c r="K135" s="3"/>
      <c r="L135" s="3" t="str">
        <f t="shared" si="6"/>
        <v>Ersatzstoffe &amp; Recyclingmaterial</v>
      </c>
      <c r="M135" s="9">
        <f t="shared" si="7"/>
        <v>0</v>
      </c>
      <c r="N135" s="9">
        <f t="shared" si="7"/>
        <v>0</v>
      </c>
      <c r="O135" s="9">
        <f t="shared" si="7"/>
        <v>0</v>
      </c>
      <c r="P135" s="3" t="s">
        <v>164</v>
      </c>
      <c r="Q135" s="361" t="b">
        <v>1</v>
      </c>
      <c r="R135" s="3"/>
      <c r="S135" s="3"/>
      <c r="T135" s="51" t="s">
        <v>35</v>
      </c>
      <c r="U135" s="53">
        <f t="shared" si="10"/>
        <v>40464.000000000007</v>
      </c>
      <c r="V135" s="54">
        <f t="shared" si="10"/>
        <v>40464</v>
      </c>
      <c r="W135" s="54">
        <f t="shared" si="10"/>
        <v>40464</v>
      </c>
      <c r="X135" s="3"/>
      <c r="Y135" s="3"/>
    </row>
    <row r="136" spans="2:25" ht="16.5" hidden="1" outlineLevel="1" thickTop="1" x14ac:dyDescent="0.3">
      <c r="B136" s="3"/>
      <c r="C136" s="3"/>
      <c r="D136" s="3"/>
      <c r="E136" s="3"/>
      <c r="F136" s="3"/>
      <c r="G136" s="3"/>
      <c r="H136" s="3"/>
      <c r="I136" s="3"/>
      <c r="J136" s="3"/>
      <c r="K136" s="3"/>
      <c r="L136" s="3" t="str">
        <f t="shared" si="6"/>
        <v/>
      </c>
      <c r="M136" s="9" t="e">
        <f t="shared" si="7"/>
        <v>#N/A</v>
      </c>
      <c r="N136" s="9" t="e">
        <f t="shared" si="7"/>
        <v>#N/A</v>
      </c>
      <c r="O136" s="9" t="e">
        <f t="shared" si="7"/>
        <v>#N/A</v>
      </c>
      <c r="P136" s="3" t="s">
        <v>164</v>
      </c>
      <c r="Q136" s="361" t="b">
        <v>0</v>
      </c>
      <c r="R136" s="3"/>
      <c r="S136" s="3"/>
      <c r="T136" s="8" t="str">
        <f>IF(X136,"CAPEX","")</f>
        <v>CAPEX</v>
      </c>
      <c r="U136" s="55">
        <f>IF($X136,U97,NA())</f>
        <v>0</v>
      </c>
      <c r="V136" s="55">
        <f t="shared" ref="V136:W138" si="11">IF($X136,V97,NA())</f>
        <v>0</v>
      </c>
      <c r="W136" s="55">
        <f t="shared" si="11"/>
        <v>0</v>
      </c>
      <c r="X136" s="361" t="b">
        <v>1</v>
      </c>
      <c r="Y136" s="3"/>
    </row>
    <row r="137" spans="2:25" ht="15.75" hidden="1" outlineLevel="1" x14ac:dyDescent="0.3">
      <c r="B137" s="3"/>
      <c r="C137" s="3"/>
      <c r="D137" s="3"/>
      <c r="E137" s="3"/>
      <c r="F137" s="3"/>
      <c r="G137" s="3"/>
      <c r="H137" s="3"/>
      <c r="I137" s="3"/>
      <c r="J137" s="3"/>
      <c r="K137" s="3"/>
      <c r="L137" s="3" t="str">
        <f t="shared" si="6"/>
        <v/>
      </c>
      <c r="M137" s="9" t="e">
        <f t="shared" si="7"/>
        <v>#N/A</v>
      </c>
      <c r="N137" s="9" t="e">
        <f t="shared" si="7"/>
        <v>#N/A</v>
      </c>
      <c r="O137" s="9" t="e">
        <f t="shared" si="7"/>
        <v>#N/A</v>
      </c>
      <c r="P137" s="3" t="s">
        <v>164</v>
      </c>
      <c r="Q137" s="361" t="b">
        <v>0</v>
      </c>
      <c r="R137" s="3"/>
      <c r="S137" s="3"/>
      <c r="T137" s="8" t="str">
        <f>IF(X137,"Zusätzliche jährliche Kosten","")</f>
        <v/>
      </c>
      <c r="U137" s="55" t="e">
        <f>IF($X137,U98,NA())</f>
        <v>#N/A</v>
      </c>
      <c r="V137" s="55" t="e">
        <f t="shared" si="11"/>
        <v>#N/A</v>
      </c>
      <c r="W137" s="55" t="e">
        <f t="shared" si="11"/>
        <v>#N/A</v>
      </c>
      <c r="X137" s="361" t="b">
        <v>0</v>
      </c>
      <c r="Y137" s="3"/>
    </row>
    <row r="138" spans="2:25" ht="15.75" hidden="1" outlineLevel="1" x14ac:dyDescent="0.3">
      <c r="B138" s="3"/>
      <c r="C138" s="3"/>
      <c r="D138" s="3"/>
      <c r="E138" s="3"/>
      <c r="F138" s="3"/>
      <c r="G138" s="3"/>
      <c r="H138" s="3"/>
      <c r="I138" s="3"/>
      <c r="J138" s="3"/>
      <c r="K138" s="3"/>
      <c r="L138" s="3" t="str">
        <f t="shared" si="6"/>
        <v/>
      </c>
      <c r="M138" s="9" t="e">
        <f t="shared" si="7"/>
        <v>#N/A</v>
      </c>
      <c r="N138" s="9" t="e">
        <f t="shared" si="7"/>
        <v>#N/A</v>
      </c>
      <c r="O138" s="9" t="e">
        <f t="shared" si="7"/>
        <v>#N/A</v>
      </c>
      <c r="P138" s="3" t="s">
        <v>164</v>
      </c>
      <c r="Q138" s="361" t="b">
        <v>0</v>
      </c>
      <c r="R138" s="3"/>
      <c r="S138" s="3"/>
      <c r="T138" s="59" t="str">
        <f>IF(X138,"Einmalige Kosten","")</f>
        <v/>
      </c>
      <c r="U138" s="55" t="e">
        <f>IF($X138,U99,NA())</f>
        <v>#N/A</v>
      </c>
      <c r="V138" s="55" t="e">
        <f t="shared" si="11"/>
        <v>#N/A</v>
      </c>
      <c r="W138" s="55" t="e">
        <f t="shared" si="11"/>
        <v>#N/A</v>
      </c>
      <c r="X138" s="361" t="b">
        <v>0</v>
      </c>
      <c r="Y138" s="3"/>
    </row>
    <row r="139" spans="2:25" ht="15.75" hidden="1" outlineLevel="1" x14ac:dyDescent="0.3">
      <c r="B139" s="3"/>
      <c r="C139" s="3"/>
      <c r="D139" s="3"/>
      <c r="E139" s="3"/>
      <c r="F139" s="3"/>
      <c r="G139" s="3"/>
      <c r="H139" s="3"/>
      <c r="I139" s="3"/>
      <c r="J139" s="3"/>
      <c r="K139" s="3"/>
      <c r="L139" s="3" t="str">
        <f t="shared" si="6"/>
        <v>Verpackungsmaterial</v>
      </c>
      <c r="M139" s="9">
        <f t="shared" si="7"/>
        <v>161.20000000000002</v>
      </c>
      <c r="N139" s="9">
        <f t="shared" si="7"/>
        <v>161.20000000000002</v>
      </c>
      <c r="O139" s="9">
        <f t="shared" si="7"/>
        <v>161.20000000000002</v>
      </c>
      <c r="P139" s="3" t="s">
        <v>164</v>
      </c>
      <c r="Q139" s="361" t="b">
        <v>1</v>
      </c>
      <c r="R139" s="3"/>
      <c r="S139" s="3"/>
      <c r="T139" s="57" t="str">
        <f>IF(X139,"CO2-Kosten","")</f>
        <v>CO2-Kosten</v>
      </c>
      <c r="U139" s="58">
        <f>IF($X$139,SUMIF($X$140:$X$142,"WAHR",U140:U142),NA())</f>
        <v>272843.09601517254</v>
      </c>
      <c r="V139" s="58">
        <f t="shared" ref="V139:W139" si="12">IF($X$139,SUMIF($X$140:$X$142,"WAHR",V140:V142),NA())</f>
        <v>487075.16938978236</v>
      </c>
      <c r="W139" s="58">
        <f t="shared" si="12"/>
        <v>856228.03605225065</v>
      </c>
      <c r="X139" s="361" t="b">
        <v>1</v>
      </c>
      <c r="Y139" s="3"/>
    </row>
    <row r="140" spans="2:25" ht="16.5" hidden="1" outlineLevel="1" thickBot="1" x14ac:dyDescent="0.35">
      <c r="B140" s="3"/>
      <c r="C140" s="3"/>
      <c r="D140" s="3"/>
      <c r="E140" s="3"/>
      <c r="F140" s="3"/>
      <c r="G140" s="3"/>
      <c r="H140" s="3"/>
      <c r="I140" s="3"/>
      <c r="J140" s="3"/>
      <c r="K140" s="3"/>
      <c r="L140" s="27" t="s">
        <v>70</v>
      </c>
      <c r="M140" s="28">
        <f>SUMIF($Q$128:$Q$139,"WAHR",M128:M139)</f>
        <v>10520.568560446896</v>
      </c>
      <c r="N140" s="28">
        <f>SUMIF($Q$128:$Q$139,"WAHR",N128:N139)</f>
        <v>10509.083294465081</v>
      </c>
      <c r="O140" s="28">
        <f>SUMIF($Q$128:$Q$139,"WAHR",O128:O139)</f>
        <v>10493.607579082944</v>
      </c>
      <c r="P140" s="27" t="s">
        <v>165</v>
      </c>
      <c r="Q140" s="3"/>
      <c r="R140" s="3"/>
      <c r="S140" s="3"/>
      <c r="T140" s="31" t="s">
        <v>157</v>
      </c>
      <c r="U140" s="52">
        <f>IF($X140,U101,NA())</f>
        <v>2665.0220039999999</v>
      </c>
      <c r="V140" s="52">
        <f t="shared" ref="V140:W140" si="13">IF($X140,V101,NA())</f>
        <v>4797.0396071999994</v>
      </c>
      <c r="W140" s="52">
        <f t="shared" si="13"/>
        <v>8528.0704127999998</v>
      </c>
      <c r="X140" s="361" t="b">
        <v>1</v>
      </c>
      <c r="Y140" s="3"/>
    </row>
    <row r="141" spans="2:25" ht="16.5" hidden="1" outlineLevel="1" thickTop="1" x14ac:dyDescent="0.3">
      <c r="B141" s="3"/>
      <c r="C141" s="3"/>
      <c r="D141" s="3"/>
      <c r="E141" s="3"/>
      <c r="F141" s="3"/>
      <c r="G141" s="3"/>
      <c r="H141" s="3"/>
      <c r="I141" s="3"/>
      <c r="J141" s="3"/>
      <c r="K141" s="3"/>
      <c r="L141" s="3"/>
      <c r="M141" s="3"/>
      <c r="N141" s="3"/>
      <c r="O141" s="3"/>
      <c r="P141" s="3"/>
      <c r="Q141" s="3"/>
      <c r="R141" s="3"/>
      <c r="S141" s="3"/>
      <c r="T141" s="31" t="s">
        <v>158</v>
      </c>
      <c r="U141" s="52">
        <f t="shared" ref="U141:W142" si="14">IF($X141,U102,NA())</f>
        <v>7162.5</v>
      </c>
      <c r="V141" s="52">
        <f t="shared" si="14"/>
        <v>9366.9335316535035</v>
      </c>
      <c r="W141" s="52">
        <f t="shared" si="14"/>
        <v>8207.0073128147415</v>
      </c>
      <c r="X141" s="361" t="b">
        <v>1</v>
      </c>
      <c r="Y141" s="3"/>
    </row>
    <row r="142" spans="2:25" ht="15.75" hidden="1" outlineLevel="1" x14ac:dyDescent="0.3">
      <c r="B142" s="3"/>
      <c r="C142" s="3"/>
      <c r="D142" s="3"/>
      <c r="E142" s="3"/>
      <c r="F142" s="3"/>
      <c r="G142" s="3"/>
      <c r="H142" s="3"/>
      <c r="I142" s="3"/>
      <c r="J142" s="3"/>
      <c r="K142" s="3"/>
      <c r="L142" s="3"/>
      <c r="M142" s="3"/>
      <c r="N142" s="3"/>
      <c r="O142" s="3"/>
      <c r="P142" s="3"/>
      <c r="Q142" s="3"/>
      <c r="R142" s="3"/>
      <c r="S142" s="3"/>
      <c r="T142" s="31" t="s">
        <v>159</v>
      </c>
      <c r="U142" s="52">
        <f t="shared" si="14"/>
        <v>263015.57401117252</v>
      </c>
      <c r="V142" s="52">
        <f t="shared" si="14"/>
        <v>472911.19625092886</v>
      </c>
      <c r="W142" s="52">
        <f t="shared" si="14"/>
        <v>839492.95832663588</v>
      </c>
      <c r="X142" s="361" t="b">
        <v>1</v>
      </c>
      <c r="Y142" s="3"/>
    </row>
    <row r="143" spans="2:25" ht="13.5" hidden="1" outlineLevel="1" thickBot="1" x14ac:dyDescent="0.25">
      <c r="B143" s="3"/>
      <c r="C143" s="3"/>
      <c r="D143" s="3"/>
      <c r="E143" s="3"/>
      <c r="F143" s="3"/>
      <c r="G143" s="3"/>
      <c r="H143" s="3"/>
      <c r="I143" s="3"/>
      <c r="J143" s="3"/>
      <c r="K143" s="3"/>
      <c r="L143" s="3"/>
      <c r="M143" s="3"/>
      <c r="N143" s="3"/>
      <c r="O143" s="3"/>
      <c r="P143" s="3"/>
      <c r="Q143" s="3"/>
      <c r="R143" s="3"/>
      <c r="S143" s="3"/>
      <c r="T143" s="27" t="s">
        <v>70</v>
      </c>
      <c r="U143" s="56">
        <f>IF($X$139,U139,0)+IF($X$138,U138,0)+IF($X$137,U137,0)+IF($X$136,U136,0)+U128</f>
        <v>445512.09601517254</v>
      </c>
      <c r="V143" s="56">
        <f t="shared" ref="V143:W143" si="15">IF($X$139,V139,0)+IF($X$138,V138,0)+IF($X$137,V137,0)+IF($X$136,V136,0)+V128</f>
        <v>659744.16938978236</v>
      </c>
      <c r="W143" s="56">
        <f t="shared" si="15"/>
        <v>1028897.0360522507</v>
      </c>
      <c r="X143" s="3"/>
      <c r="Y143" s="3"/>
    </row>
    <row r="144" spans="2:25" ht="13.5" hidden="1" outlineLevel="1" thickTop="1" x14ac:dyDescent="0.2">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2:25" hidden="1" outlineLevel="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2:25" hidden="1" outlineLevel="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2:25" hidden="1" outlineLevel="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2:25" hidden="1" outlineLevel="1" x14ac:dyDescent="0.2">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2:25" hidden="1" outlineLevel="1"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2:25" hidden="1" outlineLevel="1" x14ac:dyDescent="0.2">
      <c r="B150" s="3"/>
      <c r="C150" s="3"/>
      <c r="D150" s="102" t="str">
        <f>IF(OR(G17&gt;0,G18&gt;0,G19&gt;0),"Hinweis: Bitte den Handeingabewert 'Anteiliger Einsatz' für 2030 auch anpassen. Dieser muss dem Werte Ihrer Handeingabe 2025 entsprechen, sollte nur eine Maßnahme in 2025 umgesetzt werden.","")</f>
        <v/>
      </c>
      <c r="E150" s="3"/>
      <c r="F150" s="3"/>
      <c r="G150" s="3"/>
      <c r="H150" s="3"/>
      <c r="I150" s="3"/>
      <c r="J150" s="3"/>
      <c r="K150" s="3"/>
      <c r="L150" s="3"/>
      <c r="M150" s="3"/>
      <c r="N150" s="3"/>
      <c r="O150" s="3"/>
      <c r="P150" s="3"/>
      <c r="Q150" s="3"/>
      <c r="R150" s="3"/>
      <c r="S150" s="3"/>
      <c r="T150" s="3"/>
      <c r="U150" s="3"/>
      <c r="V150" s="3"/>
      <c r="W150" s="3"/>
      <c r="X150" s="3"/>
      <c r="Y150" s="3"/>
    </row>
    <row r="151" spans="2:25" hidden="1" outlineLevel="1"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2:25" collapsed="1" x14ac:dyDescent="0.2"/>
    <row r="154" spans="2:25" ht="15.75" hidden="1" outlineLevel="1" x14ac:dyDescent="0.25">
      <c r="B154" s="22"/>
      <c r="C154" s="22" t="s">
        <v>117</v>
      </c>
      <c r="D154" s="17"/>
      <c r="E154" s="17"/>
      <c r="F154" s="17"/>
      <c r="G154" s="17"/>
      <c r="H154" s="17"/>
      <c r="I154" s="17"/>
      <c r="J154" s="17"/>
      <c r="K154" s="17"/>
      <c r="L154" s="17"/>
      <c r="N154" s="22" t="s">
        <v>120</v>
      </c>
      <c r="O154" s="17"/>
      <c r="P154" s="17"/>
      <c r="Q154" s="17"/>
      <c r="R154" s="17"/>
      <c r="S154" s="17"/>
      <c r="T154" s="17"/>
    </row>
    <row r="155" spans="2:25" ht="15" hidden="1" outlineLevel="1" x14ac:dyDescent="0.25">
      <c r="B155" s="64"/>
      <c r="C155" s="64">
        <v>2025</v>
      </c>
      <c r="D155" s="17" t="s">
        <v>266</v>
      </c>
      <c r="E155" s="17"/>
      <c r="F155" s="17"/>
      <c r="G155" s="17"/>
      <c r="H155" s="17"/>
      <c r="I155" s="17"/>
      <c r="J155" s="17"/>
      <c r="K155" s="17"/>
      <c r="L155" s="17"/>
      <c r="N155" s="64">
        <v>2025</v>
      </c>
      <c r="O155" s="17"/>
      <c r="P155" s="17"/>
      <c r="Q155" s="17"/>
      <c r="R155" s="17"/>
      <c r="S155" s="17"/>
      <c r="T155" s="17"/>
    </row>
    <row r="156" spans="2:25" hidden="1" outlineLevel="1" x14ac:dyDescent="0.2">
      <c r="B156" s="302"/>
      <c r="C156" s="17"/>
      <c r="D156" s="17" t="s">
        <v>179</v>
      </c>
      <c r="E156" s="315">
        <f>(1-(IF(NOT(ISBLANK($G17)),$G17/100,$E17/100)))</f>
        <v>1</v>
      </c>
      <c r="F156" s="17"/>
      <c r="G156" s="17"/>
      <c r="H156" s="17"/>
      <c r="I156" s="17"/>
      <c r="J156" s="17"/>
      <c r="K156" s="17"/>
      <c r="L156" s="17"/>
      <c r="N156" s="21"/>
      <c r="O156" s="17"/>
      <c r="P156" s="17"/>
      <c r="Q156" s="17"/>
      <c r="R156" s="17"/>
      <c r="S156" s="17"/>
      <c r="T156" s="17"/>
    </row>
    <row r="157" spans="2:25" hidden="1" outlineLevel="1" x14ac:dyDescent="0.2">
      <c r="B157" s="302"/>
      <c r="C157" s="17"/>
      <c r="D157" s="17" t="s">
        <v>180</v>
      </c>
      <c r="E157" s="315">
        <f>(1-(IF(NOT(ISBLANK($G18)),$G18/100,$E18/100)))</f>
        <v>1</v>
      </c>
      <c r="F157" s="17"/>
      <c r="G157" s="17"/>
      <c r="H157" s="17"/>
      <c r="I157" s="17"/>
      <c r="J157" s="17"/>
      <c r="K157" s="17"/>
      <c r="L157" s="17"/>
      <c r="N157" s="21"/>
      <c r="O157" s="17"/>
      <c r="P157" s="17"/>
      <c r="Q157" s="17"/>
      <c r="R157" s="17"/>
      <c r="S157" s="17"/>
      <c r="T157" s="17"/>
    </row>
    <row r="158" spans="2:25" hidden="1" outlineLevel="1" x14ac:dyDescent="0.2">
      <c r="B158" s="302"/>
      <c r="C158" s="17"/>
      <c r="D158" s="17" t="s">
        <v>181</v>
      </c>
      <c r="E158" s="315">
        <f>(1-(IF(NOT(ISBLANK($G19)),$G19/100,$E19/100)))</f>
        <v>1</v>
      </c>
      <c r="F158" s="17"/>
      <c r="G158" s="17"/>
      <c r="H158" s="17"/>
      <c r="I158" s="17"/>
      <c r="J158" s="17"/>
      <c r="K158" s="17"/>
      <c r="L158" s="17"/>
      <c r="N158" s="21"/>
      <c r="O158" s="17"/>
      <c r="P158" s="17"/>
      <c r="Q158" s="17"/>
      <c r="R158" s="17"/>
      <c r="S158" s="17"/>
      <c r="T158" s="17"/>
    </row>
    <row r="159" spans="2:25" hidden="1" outlineLevel="1" x14ac:dyDescent="0.2">
      <c r="B159" s="302"/>
      <c r="C159" s="17"/>
      <c r="D159" s="17"/>
      <c r="E159" s="315">
        <v>0</v>
      </c>
      <c r="F159" s="17"/>
      <c r="G159" s="17"/>
      <c r="H159" s="17"/>
      <c r="I159" s="17"/>
      <c r="J159" s="17"/>
      <c r="K159" s="17"/>
      <c r="L159" s="17"/>
      <c r="N159" s="21"/>
      <c r="O159" s="17"/>
      <c r="P159" s="17"/>
      <c r="Q159" s="17"/>
      <c r="R159" s="17"/>
      <c r="S159" s="17"/>
      <c r="T159" s="17"/>
    </row>
    <row r="160" spans="2:25" hidden="1" outlineLevel="1" x14ac:dyDescent="0.2">
      <c r="B160" s="302"/>
      <c r="C160" s="17"/>
      <c r="D160" s="17"/>
      <c r="E160" s="17"/>
      <c r="F160" s="17"/>
      <c r="G160" s="17"/>
      <c r="H160" s="17"/>
      <c r="I160" s="17"/>
      <c r="J160" s="17"/>
      <c r="K160" s="17"/>
      <c r="L160" s="17"/>
      <c r="N160" s="21"/>
      <c r="O160" s="17"/>
      <c r="P160" s="17"/>
      <c r="Q160" s="17"/>
      <c r="R160" s="17"/>
      <c r="S160" s="17"/>
      <c r="T160" s="17"/>
    </row>
    <row r="161" spans="2:20" hidden="1" outlineLevel="1" x14ac:dyDescent="0.2">
      <c r="B161" s="302"/>
      <c r="C161" s="17"/>
      <c r="D161" s="17" t="s">
        <v>337</v>
      </c>
      <c r="E161" s="323">
        <f>((1-E156)*IF(NOT(ISBLANK('Referenz Pflasterwerk'!$I42)),'Referenz Pflasterwerk'!$I42,'Referenz Pflasterwerk'!$F42)+(1-E157)*IF(NOT(ISBLANK('Referenz Pflasterwerk'!$I43)),'Referenz Pflasterwerk'!$I43,'Referenz Pflasterwerk'!$F43)+(1-E158)*IF(NOT(ISBLANK('Referenz Pflasterwerk'!$I44)),'Referenz Pflasterwerk'!$I44,'Referenz Pflasterwerk'!$F44))*IF(NOT(ISBLANK('Referenz Pflasterwerk'!$I$12)),'Referenz Pflasterwerk'!$I$12,'Referenz Pflasterwerk'!$F$12)</f>
        <v>0</v>
      </c>
      <c r="F161" s="17" t="s">
        <v>49</v>
      </c>
      <c r="G161" s="17"/>
      <c r="H161" s="17"/>
      <c r="I161" s="17"/>
      <c r="J161" s="17"/>
      <c r="K161" s="17"/>
      <c r="L161" s="17"/>
      <c r="N161" s="21"/>
      <c r="O161" s="17"/>
      <c r="P161" s="17"/>
      <c r="Q161" s="17"/>
      <c r="R161" s="17"/>
      <c r="S161" s="17"/>
      <c r="T161" s="17"/>
    </row>
    <row r="162" spans="2:20" hidden="1" outlineLevel="1" x14ac:dyDescent="0.2">
      <c r="B162" s="302"/>
      <c r="C162" s="17"/>
      <c r="D162" s="17"/>
      <c r="E162" s="17"/>
      <c r="F162" s="17"/>
      <c r="G162" s="17"/>
      <c r="H162" s="17"/>
      <c r="I162" s="17"/>
      <c r="J162" s="17"/>
      <c r="K162" s="17"/>
      <c r="L162" s="17"/>
      <c r="N162" s="21"/>
      <c r="O162" s="17"/>
      <c r="P162" s="17"/>
      <c r="Q162" s="17"/>
      <c r="R162" s="17"/>
      <c r="S162" s="17"/>
      <c r="T162" s="17"/>
    </row>
    <row r="163" spans="2:20" hidden="1" outlineLevel="1" x14ac:dyDescent="0.2">
      <c r="B163" s="17"/>
      <c r="C163" s="17"/>
      <c r="D163" s="17"/>
      <c r="E163" s="17"/>
      <c r="F163" s="20"/>
      <c r="G163" s="20"/>
      <c r="H163" s="20"/>
      <c r="I163" s="17"/>
      <c r="J163" s="17"/>
      <c r="K163" s="17"/>
      <c r="L163" s="17"/>
      <c r="N163" s="17"/>
      <c r="O163" s="17"/>
      <c r="P163" s="17"/>
      <c r="Q163" s="17"/>
      <c r="R163" s="17"/>
      <c r="S163" s="17"/>
      <c r="T163" s="17"/>
    </row>
    <row r="164" spans="2:20" hidden="1" outlineLevel="1" x14ac:dyDescent="0.2">
      <c r="B164" s="17"/>
      <c r="C164" s="17"/>
      <c r="D164" s="17"/>
      <c r="E164" s="17"/>
      <c r="F164" s="20"/>
      <c r="G164" s="20"/>
      <c r="H164" s="20"/>
      <c r="I164" s="17"/>
      <c r="J164" s="17"/>
      <c r="K164" s="17"/>
      <c r="L164" s="17"/>
      <c r="N164" s="17"/>
      <c r="O164" s="17"/>
      <c r="P164" s="17"/>
      <c r="Q164" s="17"/>
      <c r="R164" s="17"/>
      <c r="S164" s="17"/>
      <c r="T164" s="17"/>
    </row>
    <row r="165" spans="2:20" ht="25.5" hidden="1" outlineLevel="1" x14ac:dyDescent="0.2">
      <c r="B165" s="17"/>
      <c r="C165" s="17"/>
      <c r="D165" s="17"/>
      <c r="E165" s="17"/>
      <c r="F165" s="36" t="s">
        <v>27</v>
      </c>
      <c r="G165" s="36" t="s">
        <v>85</v>
      </c>
      <c r="H165" s="36" t="s">
        <v>29</v>
      </c>
      <c r="I165" s="17"/>
      <c r="J165" s="40" t="s">
        <v>114</v>
      </c>
      <c r="K165" s="41" t="s">
        <v>40</v>
      </c>
      <c r="L165" s="17"/>
      <c r="N165" s="17"/>
      <c r="O165" s="17"/>
      <c r="P165" s="17"/>
      <c r="Q165" s="18"/>
      <c r="R165" s="18"/>
      <c r="S165" s="18"/>
      <c r="T165" s="18"/>
    </row>
    <row r="166" spans="2:20" ht="14.25" hidden="1" outlineLevel="1" x14ac:dyDescent="0.25">
      <c r="B166" s="76"/>
      <c r="C166" s="76" t="s">
        <v>191</v>
      </c>
      <c r="D166" s="76"/>
      <c r="E166" s="76"/>
      <c r="F166" s="77">
        <f>SUM(F168:F181)</f>
        <v>106.60088015999999</v>
      </c>
      <c r="G166" s="77">
        <f t="shared" ref="G166:H166" si="16">SUM(G168:G181)</f>
        <v>208.15407848118898</v>
      </c>
      <c r="H166" s="77">
        <f t="shared" si="16"/>
        <v>49.22770657818478</v>
      </c>
      <c r="I166" s="76"/>
      <c r="J166" s="77">
        <f>F166+G166</f>
        <v>314.75495864118898</v>
      </c>
      <c r="K166" s="77">
        <f>SUM(F166:H166)</f>
        <v>363.98266521937376</v>
      </c>
      <c r="L166" s="76" t="s">
        <v>198</v>
      </c>
      <c r="N166" s="17"/>
      <c r="O166" s="17"/>
      <c r="P166" s="17"/>
      <c r="Q166" s="18"/>
      <c r="R166" s="18"/>
      <c r="S166" s="18"/>
      <c r="T166" s="18"/>
    </row>
    <row r="167" spans="2:20" hidden="1" outlineLevel="1" x14ac:dyDescent="0.2">
      <c r="B167" s="17"/>
      <c r="C167" s="17" t="s">
        <v>148</v>
      </c>
      <c r="D167" s="17"/>
      <c r="E167" s="17"/>
      <c r="F167" s="17"/>
      <c r="G167" s="17"/>
      <c r="H167" s="17"/>
      <c r="I167" s="17"/>
      <c r="J167" s="17"/>
      <c r="K167" s="17"/>
      <c r="L167" s="17"/>
      <c r="N167" s="17" t="s">
        <v>148</v>
      </c>
      <c r="O167" s="17"/>
      <c r="P167" s="17"/>
      <c r="Q167" s="18"/>
      <c r="R167" s="18"/>
      <c r="S167" s="18"/>
      <c r="T167" s="18"/>
    </row>
    <row r="168" spans="2:20" ht="15.75" hidden="1" outlineLevel="1" x14ac:dyDescent="0.3">
      <c r="B168" s="302"/>
      <c r="C168" s="17"/>
      <c r="D168" s="17" t="s">
        <v>128</v>
      </c>
      <c r="E168" s="17"/>
      <c r="F168" s="38">
        <f>IF(NOT(ISBLANK('Referenz Pflasterwerk'!$I16)),'Referenz Pflasterwerk'!$I16,'Referenz Pflasterwerk'!$F16)*IF(NOT(ISBLANK('Eingabe EF'!$AA9)),'Eingabe EF'!$AA9,'Eingabe EF'!$Y9)</f>
        <v>1.6484399999999999</v>
      </c>
      <c r="G168" s="38">
        <f>IF(NOT(ISBLANK('Referenz Pflasterwerk'!$I16)),'Referenz Pflasterwerk'!$I16,'Referenz Pflasterwerk'!$F16)*IF(NOT(ISBLANK('Eingabe EF'!$AE9)),'Eingabe EF'!$AE9,'Eingabe EF'!$AC9)</f>
        <v>0</v>
      </c>
      <c r="H168" s="38">
        <f>IF(NOT(ISBLANK('Referenz Pflasterwerk'!$I16)),'Referenz Pflasterwerk'!$I16,'Referenz Pflasterwerk'!$F16)*IF(NOT(ISBLANK('Eingabe EF'!$AI9)),'Eingabe EF'!$AI9,'Eingabe EF'!$AG9)</f>
        <v>0.28215000000000001</v>
      </c>
      <c r="I168" s="17"/>
      <c r="J168" s="38">
        <f>F168+G168</f>
        <v>1.6484399999999999</v>
      </c>
      <c r="K168" s="38">
        <f>SUM(F168:H168)</f>
        <v>1.93059</v>
      </c>
      <c r="L168" s="17" t="s">
        <v>199</v>
      </c>
      <c r="N168" s="302"/>
      <c r="O168" s="17" t="s">
        <v>128</v>
      </c>
      <c r="P168" s="17"/>
      <c r="Q168" s="19"/>
      <c r="R168" s="20"/>
      <c r="S168" s="42">
        <f>IF(NOT(ISBLANK('Referenz Pflasterwerk'!$I16)),'Referenz Pflasterwerk'!$I16,'Referenz Pflasterwerk'!$F16)/1000*IF(NOT(ISBLANK('Eingabe Preise'!$K10)),'Eingabe Preise'!$K10,'Eingabe Preise'!$I10)</f>
        <v>549</v>
      </c>
      <c r="T168" s="20" t="s">
        <v>109</v>
      </c>
    </row>
    <row r="169" spans="2:20" ht="15.75" hidden="1" outlineLevel="1" x14ac:dyDescent="0.3">
      <c r="B169" s="302"/>
      <c r="C169" s="17"/>
      <c r="D169" s="17" t="s">
        <v>166</v>
      </c>
      <c r="E169" s="17"/>
      <c r="F169" s="38">
        <f>IF(NOT(ISBLANK('Referenz Pflasterwerk'!$I17)),'Referenz Pflasterwerk'!$I17,'Referenz Pflasterwerk'!$F17)*IF(NOT(ISBLANK('Eingabe EF'!$AA10)),'Eingabe EF'!$AA10,'Eingabe EF'!$Y10)</f>
        <v>0.53351999999999999</v>
      </c>
      <c r="G169" s="38">
        <f>IF(NOT(ISBLANK('Referenz Pflasterwerk'!$I17)),'Referenz Pflasterwerk'!$I17,'Referenz Pflasterwerk'!$F17)*IF(NOT(ISBLANK('Eingabe EF'!$AE10)),'Eingabe EF'!$AE10,'Eingabe EF'!$AC10)</f>
        <v>0</v>
      </c>
      <c r="H169" s="38">
        <f>IF(NOT(ISBLANK('Referenz Pflasterwerk'!$I17)),'Referenz Pflasterwerk'!$I17,'Referenz Pflasterwerk'!$F17)*IF(NOT(ISBLANK('Eingabe EF'!$AI10)),'Eingabe EF'!$AI10,'Eingabe EF'!$AG10)</f>
        <v>7.9152E-2</v>
      </c>
      <c r="I169" s="17"/>
      <c r="J169" s="38">
        <f>F169+G169</f>
        <v>0.53351999999999999</v>
      </c>
      <c r="K169" s="38">
        <f>SUM(F169:H169)</f>
        <v>0.61267199999999999</v>
      </c>
      <c r="L169" s="17" t="s">
        <v>199</v>
      </c>
      <c r="N169" s="302"/>
      <c r="O169" s="17" t="s">
        <v>166</v>
      </c>
      <c r="P169" s="17"/>
      <c r="Q169" s="20"/>
      <c r="R169" s="20"/>
      <c r="S169" s="42">
        <f>IF(NOT(ISBLANK('Referenz Pflasterwerk'!$I17)),'Referenz Pflasterwerk'!$I17,'Referenz Pflasterwerk'!$F17)/1000*IF(NOT(ISBLANK('Eingabe Preise'!$K11)),'Eingabe Preise'!$K11,'Eingabe Preise'!$I11)</f>
        <v>92</v>
      </c>
      <c r="T169" s="20" t="s">
        <v>109</v>
      </c>
    </row>
    <row r="170" spans="2:20" ht="15.75" hidden="1" outlineLevel="1" x14ac:dyDescent="0.3">
      <c r="B170" s="302"/>
      <c r="C170" s="17"/>
      <c r="D170" s="17" t="s">
        <v>167</v>
      </c>
      <c r="E170" s="17"/>
      <c r="F170" s="38">
        <f>IF(NOT(ISBLANK('Referenz Pflasterwerk'!$I18)),'Referenz Pflasterwerk'!$I18,'Referenz Pflasterwerk'!$F18)*IF(NOT(ISBLANK('Eingabe EF'!$AA11)),'Eingabe EF'!$AA11,'Eingabe EF'!$Y11)</f>
        <v>0</v>
      </c>
      <c r="G170" s="38">
        <f>IF(NOT(ISBLANK('Referenz Pflasterwerk'!$I18)),'Referenz Pflasterwerk'!$I18,'Referenz Pflasterwerk'!$F18)*IF(NOT(ISBLANK('Eingabe EF'!$AE11)),'Eingabe EF'!$AE11,'Eingabe EF'!$AC11)</f>
        <v>41.630815696237796</v>
      </c>
      <c r="H170" s="38">
        <f>IF(NOT(ISBLANK('Referenz Pflasterwerk'!$I18)),'Referenz Pflasterwerk'!$I18,'Referenz Pflasterwerk'!$F18)*IF(NOT(ISBLANK('Eingabe EF'!$AI11)),'Eingabe EF'!$AI11,'Eingabe EF'!$AG11)</f>
        <v>6.1029468036369554</v>
      </c>
      <c r="I170" s="17"/>
      <c r="J170" s="38">
        <f>F170+G170</f>
        <v>41.630815696237796</v>
      </c>
      <c r="K170" s="38">
        <f>SUM(F170:H170)</f>
        <v>47.73376249987475</v>
      </c>
      <c r="L170" s="17" t="s">
        <v>199</v>
      </c>
      <c r="N170" s="302"/>
      <c r="O170" s="17" t="s">
        <v>167</v>
      </c>
      <c r="P170" s="17"/>
      <c r="Q170" s="20"/>
      <c r="R170" s="20"/>
      <c r="S170" s="42">
        <f>IF(NOT(ISBLANK('Referenz Pflasterwerk'!$I18)),'Referenz Pflasterwerk'!$I18,'Referenz Pflasterwerk'!$F18)/1000*IF(NOT(ISBLANK('Eingabe Preise'!$K12)),'Eingabe Preise'!$K12,'Eingabe Preise'!$I12)</f>
        <v>25800</v>
      </c>
      <c r="T170" s="20" t="s">
        <v>109</v>
      </c>
    </row>
    <row r="171" spans="2:20" ht="15.75" hidden="1" outlineLevel="1" x14ac:dyDescent="0.3">
      <c r="B171" s="302"/>
      <c r="C171" s="17"/>
      <c r="D171" s="17" t="s">
        <v>129</v>
      </c>
      <c r="E171" s="17"/>
      <c r="F171" s="44">
        <f>IF(NOT(ISBLANK('Referenz Pflasterwerk'!$I19)),'Referenz Pflasterwerk'!$I19,'Referenz Pflasterwerk'!$F19)*IF(NOT(ISBLANK('Eingabe EF'!$AA12)),'Eingabe EF'!$AA12,0)</f>
        <v>0</v>
      </c>
      <c r="G171" s="44">
        <f>IF(NOT(ISBLANK('Referenz Pflasterwerk'!$I19)),'Referenz Pflasterwerk'!$I19,'Referenz Pflasterwerk'!$F19)*IF(NOT(ISBLANK('Eingabe EF'!$AE12)),'Eingabe EF'!$AE12,0)</f>
        <v>0</v>
      </c>
      <c r="H171" s="44">
        <f>IF(NOT(ISBLANK('Referenz Pflasterwerk'!$I19)),'Referenz Pflasterwerk'!$I19,'Referenz Pflasterwerk'!$F19)*IF(NOT(ISBLANK('Eingabe EF'!$AI12)),'Eingabe EF'!$AI12,0)</f>
        <v>0</v>
      </c>
      <c r="I171" s="17"/>
      <c r="J171" s="38">
        <f>F171+G171</f>
        <v>0</v>
      </c>
      <c r="K171" s="38">
        <f>SUM(F171:H171)</f>
        <v>0</v>
      </c>
      <c r="L171" s="17" t="s">
        <v>199</v>
      </c>
      <c r="N171" s="302"/>
      <c r="O171" s="17" t="s">
        <v>129</v>
      </c>
      <c r="P171" s="17"/>
      <c r="Q171" s="20"/>
      <c r="R171" s="20"/>
      <c r="S171" s="42">
        <f>IF(NOT(ISBLANK('Referenz Pflasterwerk'!$I19)),'Referenz Pflasterwerk'!$I19,'Referenz Pflasterwerk'!$F19)/1000*IF(NOT(ISBLANK('Eingabe Preise'!$K16)),'Eingabe Preise'!$K16,0)</f>
        <v>0</v>
      </c>
      <c r="T171" s="20" t="s">
        <v>109</v>
      </c>
    </row>
    <row r="172" spans="2:20" hidden="1" outlineLevel="1" x14ac:dyDescent="0.2">
      <c r="B172" s="17"/>
      <c r="C172" s="17" t="s">
        <v>149</v>
      </c>
      <c r="D172" s="17"/>
      <c r="E172" s="17"/>
      <c r="F172" s="20"/>
      <c r="G172" s="20"/>
      <c r="H172" s="20"/>
      <c r="I172" s="17"/>
      <c r="J172" s="17"/>
      <c r="K172" s="17"/>
      <c r="L172" s="17"/>
      <c r="N172" s="17" t="s">
        <v>149</v>
      </c>
      <c r="O172" s="17"/>
      <c r="P172" s="17"/>
      <c r="Q172" s="20"/>
      <c r="R172" s="20"/>
      <c r="S172" s="20"/>
      <c r="T172" s="20"/>
    </row>
    <row r="173" spans="2:20" ht="15.75" hidden="1" outlineLevel="1" x14ac:dyDescent="0.3">
      <c r="B173" s="17"/>
      <c r="C173" s="17"/>
      <c r="D173" s="17" t="s">
        <v>32</v>
      </c>
      <c r="E173" s="17"/>
      <c r="F173" s="38">
        <f>IF(NOT(ISBLANK('Referenz Pflasterwerk'!$I21)),'Referenz Pflasterwerk'!$I21,'Referenz Pflasterwerk'!$F21)*IF(NOT(ISBLANK('Eingabe EF'!$AA9)),'Eingabe EF'!$AA9,'Eingabe EF'!$Y9)</f>
        <v>6.5937599999999996</v>
      </c>
      <c r="G173" s="38">
        <f>IF(NOT(ISBLANK('Referenz Pflasterwerk'!$I21)),'Referenz Pflasterwerk'!$I21,'Referenz Pflasterwerk'!$F21)*IF(NOT(ISBLANK('Eingabe EF'!$AE9)),'Eingabe EF'!$AE9,'Eingabe EF'!$AC9)</f>
        <v>0</v>
      </c>
      <c r="H173" s="38">
        <f>IF(NOT(ISBLANK('Referenz Pflasterwerk'!$I21)),'Referenz Pflasterwerk'!$I21,'Referenz Pflasterwerk'!$F21)*IF(NOT(ISBLANK('Eingabe EF'!$AG9)),'Eingabe EF'!$AG9,'Eingabe EF'!$AIC9)</f>
        <v>1.1286</v>
      </c>
      <c r="I173" s="17"/>
      <c r="J173" s="38">
        <f t="shared" ref="J173:J174" si="17">F173+G173</f>
        <v>6.5937599999999996</v>
      </c>
      <c r="K173" s="38">
        <f t="shared" ref="K173:K184" si="18">SUM(F173:H173)</f>
        <v>7.7223600000000001</v>
      </c>
      <c r="L173" s="17" t="s">
        <v>199</v>
      </c>
      <c r="M173" s="43"/>
      <c r="N173" s="17"/>
      <c r="O173" s="17" t="s">
        <v>32</v>
      </c>
      <c r="P173" s="17"/>
      <c r="Q173" s="20"/>
      <c r="R173" s="20"/>
      <c r="S173" s="42">
        <f>IF(NOT(ISBLANK('Referenz Pflasterwerk'!$I21)),'Referenz Pflasterwerk'!$I21,'Referenz Pflasterwerk'!$F21)/1000*IF(NOT(ISBLANK('Eingabe Preise'!$K10)),'Eingabe Preise'!$K10,'Eingabe Preise'!$I10)</f>
        <v>2196</v>
      </c>
      <c r="T173" s="20" t="s">
        <v>109</v>
      </c>
    </row>
    <row r="174" spans="2:20" ht="15.75" hidden="1" outlineLevel="1" x14ac:dyDescent="0.3">
      <c r="B174" s="17"/>
      <c r="C174" s="17"/>
      <c r="D174" s="17" t="s">
        <v>33</v>
      </c>
      <c r="E174" s="17"/>
      <c r="F174" s="38">
        <f>IF(NOT(ISBLANK('Referenz Pflasterwerk'!$I22)),'Referenz Pflasterwerk'!$I22,'Referenz Pflasterwerk'!$F22)*IF(NOT(ISBLANK('Eingabe EF'!$AA10)),'Eingabe EF'!$AA10,'Eingabe EF'!$Y10)</f>
        <v>2.13408</v>
      </c>
      <c r="G174" s="38">
        <f>IF(NOT(ISBLANK('Referenz Pflasterwerk'!$I22)),'Referenz Pflasterwerk'!$I22,'Referenz Pflasterwerk'!$F22)*IF(NOT(ISBLANK('Eingabe EF'!$AE10)),'Eingabe EF'!$AE10,'Eingabe EF'!$AC10)</f>
        <v>0</v>
      </c>
      <c r="H174" s="38">
        <f>IF(NOT(ISBLANK('Referenz Pflasterwerk'!$I22)),'Referenz Pflasterwerk'!$I22,'Referenz Pflasterwerk'!$F22)*IF(NOT(ISBLANK('Eingabe EF'!$AG10)),'Eingabe EF'!$AG10,'Eingabe EF'!$AIC10)</f>
        <v>0.316608</v>
      </c>
      <c r="I174" s="17"/>
      <c r="J174" s="38">
        <f t="shared" si="17"/>
        <v>2.13408</v>
      </c>
      <c r="K174" s="38">
        <f t="shared" si="18"/>
        <v>2.450688</v>
      </c>
      <c r="L174" s="17" t="s">
        <v>199</v>
      </c>
      <c r="M174" s="43"/>
      <c r="N174" s="17"/>
      <c r="O174" s="17" t="s">
        <v>33</v>
      </c>
      <c r="P174" s="17"/>
      <c r="Q174" s="20"/>
      <c r="R174" s="20"/>
      <c r="S174" s="42">
        <f>IF(NOT(ISBLANK('Referenz Pflasterwerk'!$I22)),'Referenz Pflasterwerk'!$I22,'Referenz Pflasterwerk'!$F22)/1000*IF(NOT(ISBLANK('Eingabe Preise'!$K11)),'Eingabe Preise'!$K11,'Eingabe Preise'!$I11)</f>
        <v>368</v>
      </c>
      <c r="T174" s="20" t="s">
        <v>109</v>
      </c>
    </row>
    <row r="175" spans="2:20" hidden="1" outlineLevel="1" x14ac:dyDescent="0.2">
      <c r="B175" s="17"/>
      <c r="C175" s="17" t="s">
        <v>150</v>
      </c>
      <c r="D175" s="17"/>
      <c r="E175" s="17"/>
      <c r="F175" s="20"/>
      <c r="G175" s="20"/>
      <c r="H175" s="20"/>
      <c r="I175" s="17"/>
      <c r="J175" s="17"/>
      <c r="K175" s="17"/>
      <c r="L175" s="17"/>
      <c r="N175" s="17" t="s">
        <v>150</v>
      </c>
      <c r="O175" s="17"/>
      <c r="P175" s="17"/>
      <c r="Q175" s="20"/>
      <c r="R175" s="20"/>
      <c r="S175" s="20"/>
      <c r="T175" s="20"/>
    </row>
    <row r="176" spans="2:20" ht="15.75" hidden="1" outlineLevel="1" x14ac:dyDescent="0.3">
      <c r="B176" s="17"/>
      <c r="C176" s="17"/>
      <c r="D176" s="17" t="s">
        <v>152</v>
      </c>
      <c r="E176" s="17"/>
      <c r="F176" s="38">
        <f>IF(NOT(ISBLANK('Referenz Pflasterwerk'!$I24)),'Referenz Pflasterwerk'!$I24,'Referenz Pflasterwerk'!$F24)*IF(NOT(ISBLANK('Eingabe EF'!$AA11)),'Eingabe EF'!$AA11,'Eingabe EF'!$Y11)</f>
        <v>0</v>
      </c>
      <c r="G176" s="38">
        <f>IF(NOT(ISBLANK('Referenz Pflasterwerk'!$I24)),'Referenz Pflasterwerk'!$I24,'Referenz Pflasterwerk'!$F24)*IF(NOT(ISBLANK('Eingabe EF'!$AE11)),'Eingabe EF'!$AE11,'Eingabe EF'!$AC11)</f>
        <v>166.52326278495119</v>
      </c>
      <c r="H176" s="38">
        <f>IF(NOT(ISBLANK('Referenz Pflasterwerk'!$I24)),'Referenz Pflasterwerk'!$I24,'Referenz Pflasterwerk'!$F24)*IF(NOT(ISBLANK('Eingabe EF'!$AI11)),'Eingabe EF'!$AI11,'Eingabe EF'!$AG11)</f>
        <v>24.411787214547822</v>
      </c>
      <c r="I176" s="17"/>
      <c r="J176" s="38">
        <f t="shared" ref="J176:J184" si="19">F176+G176</f>
        <v>166.52326278495119</v>
      </c>
      <c r="K176" s="38">
        <f t="shared" si="18"/>
        <v>190.935049999499</v>
      </c>
      <c r="L176" s="17" t="s">
        <v>199</v>
      </c>
      <c r="M176" s="43"/>
      <c r="N176" s="17"/>
      <c r="O176" s="17" t="s">
        <v>168</v>
      </c>
      <c r="P176" s="17"/>
      <c r="Q176" s="20"/>
      <c r="R176" s="20"/>
      <c r="S176" s="42">
        <f>IF(NOT(ISBLANK('Referenz Pflasterwerk'!$I24)),'Referenz Pflasterwerk'!$I24,'Referenz Pflasterwerk'!$F24)/1000*IF(NOT(ISBLANK('Eingabe Preise'!$K12)),'Eingabe Preise'!$K12,'Eingabe Preise'!$I12)</f>
        <v>103200</v>
      </c>
      <c r="T176" s="20" t="s">
        <v>109</v>
      </c>
    </row>
    <row r="177" spans="2:21" ht="15.75" hidden="1" outlineLevel="1" x14ac:dyDescent="0.3">
      <c r="B177" s="17"/>
      <c r="C177" s="17"/>
      <c r="D177" s="17" t="s">
        <v>125</v>
      </c>
      <c r="E177" s="17"/>
      <c r="F177" s="38">
        <f>IF(NOT(ISBLANK('Referenz Pflasterwerk'!$I25)),'Referenz Pflasterwerk'!$I25,'Referenz Pflasterwerk'!$F25)*IF(NOT(ISBLANK('Eingabe EF'!$AA13)),'Eingabe EF'!$AA13,'Eingabe EF'!$Y13)</f>
        <v>0</v>
      </c>
      <c r="G177" s="38">
        <f>IF(NOT(ISBLANK('Referenz Pflasterwerk'!$I25)),'Referenz Pflasterwerk'!$I25,'Referenz Pflasterwerk'!$F25)*IF(NOT(ISBLANK('Eingabe EF'!$AE13)),'Eingabe EF'!$AE13,'Eingabe EF'!$AC13)</f>
        <v>0</v>
      </c>
      <c r="H177" s="38">
        <f>IF(NOT(ISBLANK('Referenz Pflasterwerk'!$I25)),'Referenz Pflasterwerk'!$I25,'Referenz Pflasterwerk'!$F25)*IF(NOT(ISBLANK('Eingabe EF'!$AI13)),'Eingabe EF'!$AI13,'Eingabe EF'!$AG13)</f>
        <v>0</v>
      </c>
      <c r="I177" s="17"/>
      <c r="J177" s="38">
        <f t="shared" si="19"/>
        <v>0</v>
      </c>
      <c r="K177" s="38">
        <f t="shared" si="18"/>
        <v>0</v>
      </c>
      <c r="L177" s="17" t="s">
        <v>199</v>
      </c>
      <c r="M177" s="43"/>
      <c r="N177" s="17"/>
      <c r="O177" s="17" t="s">
        <v>125</v>
      </c>
      <c r="P177" s="17"/>
      <c r="Q177" s="20"/>
      <c r="R177" s="20"/>
      <c r="S177" s="42">
        <f>IF(NOT(ISBLANK('Referenz Pflasterwerk'!$I25)),'Referenz Pflasterwerk'!$I25,'Referenz Pflasterwerk'!$F25)/1000*IF(NOT(ISBLANK('Eingabe Preise'!$K13)),'Eingabe Preise'!$K13,'Eingabe Preise'!$I13)</f>
        <v>0</v>
      </c>
      <c r="T177" s="20" t="s">
        <v>109</v>
      </c>
    </row>
    <row r="178" spans="2:21" ht="15.75" hidden="1" outlineLevel="1" x14ac:dyDescent="0.3">
      <c r="B178" s="17"/>
      <c r="C178" s="17"/>
      <c r="D178" s="17" t="s">
        <v>151</v>
      </c>
      <c r="E178" s="17"/>
      <c r="F178" s="38">
        <f>IF(NOT(ISBLANK('Referenz Pflasterwerk'!$I26)),'Referenz Pflasterwerk'!$I26,'Referenz Pflasterwerk'!$F26)*IF(NOT(ISBLANK('Eingabe EF'!$AA14)),'Eingabe EF'!$AA14,0)</f>
        <v>0</v>
      </c>
      <c r="G178" s="38">
        <f>IF(NOT(ISBLANK('Referenz Pflasterwerk'!$I26)),'Referenz Pflasterwerk'!$I26,'Referenz Pflasterwerk'!$F26)*IF(NOT(ISBLANK('Eingabe EF'!$AE14)),'Eingabe EF'!$AE14,0)</f>
        <v>0</v>
      </c>
      <c r="H178" s="38">
        <f>IF(NOT(ISBLANK('Referenz Pflasterwerk'!$I26)),'Referenz Pflasterwerk'!$I26,'Referenz Pflasterwerk'!$F26)*IF(NOT(ISBLANK('Eingabe EF'!$AI14)),'Eingabe EF'!$AI14,0)</f>
        <v>0</v>
      </c>
      <c r="I178" s="17"/>
      <c r="J178" s="38">
        <f t="shared" si="19"/>
        <v>0</v>
      </c>
      <c r="K178" s="38">
        <f t="shared" si="18"/>
        <v>0</v>
      </c>
      <c r="L178" s="17" t="s">
        <v>199</v>
      </c>
      <c r="M178" s="43"/>
      <c r="N178" s="17"/>
      <c r="O178" s="17" t="s">
        <v>151</v>
      </c>
      <c r="P178" s="17"/>
      <c r="Q178" s="30"/>
      <c r="R178" s="17"/>
      <c r="S178" s="42">
        <f>IF(NOT(ISBLANK('Referenz Pflasterwerk'!$I26)),'Referenz Pflasterwerk'!$I26,'Referenz Pflasterwerk'!$F26)/1000*IF(NOT(ISBLANK('Eingabe Preise'!$K17)),'Eingabe Preise'!$K17,0)</f>
        <v>0</v>
      </c>
      <c r="T178" s="20" t="s">
        <v>109</v>
      </c>
    </row>
    <row r="179" spans="2:21" hidden="1" outlineLevel="1" x14ac:dyDescent="0.2">
      <c r="B179" s="17"/>
      <c r="C179" s="17"/>
      <c r="D179" s="17"/>
      <c r="E179" s="17"/>
      <c r="F179" s="20"/>
      <c r="G179" s="20"/>
      <c r="H179" s="20"/>
      <c r="I179" s="17"/>
      <c r="J179" s="17"/>
      <c r="K179" s="17"/>
      <c r="L179" s="17"/>
      <c r="N179" s="17"/>
      <c r="O179" s="17"/>
      <c r="P179" s="17"/>
      <c r="Q179" s="30"/>
      <c r="R179" s="17"/>
      <c r="S179" s="17"/>
      <c r="T179" s="17"/>
    </row>
    <row r="180" spans="2:21" ht="15.75" hidden="1" outlineLevel="1" x14ac:dyDescent="0.3">
      <c r="B180" s="17"/>
      <c r="C180" s="17" t="s">
        <v>78</v>
      </c>
      <c r="D180" s="17" t="s">
        <v>35</v>
      </c>
      <c r="E180" s="17"/>
      <c r="F180" s="38">
        <f>IF(NOT(ISBLANK('Referenz Pflasterwerk'!$I28)),'Referenz Pflasterwerk'!$I28,'Referenz Pflasterwerk'!$F28)*IF(NOT(ISBLANK('Eingabe EF'!$AA15)),'Eingabe EF'!$AA15,'Eingabe EF'!$Y15)</f>
        <v>85.058737919999984</v>
      </c>
      <c r="G180" s="38">
        <f>IF(NOT(ISBLANK('Referenz Pflasterwerk'!$I28)),'Referenz Pflasterwerk'!$I28,'Referenz Pflasterwerk'!$F28)*IF(NOT(ISBLANK('Eingabe EF'!$AE15)),'Eingabe EF'!$AE15,'Eingabe EF'!$AC15)</f>
        <v>0</v>
      </c>
      <c r="H180" s="38">
        <f>IF(NOT(ISBLANK('Referenz Pflasterwerk'!$I28)),'Referenz Pflasterwerk'!$I28,'Referenz Pflasterwerk'!$F28)*IF(NOT(ISBLANK('Eingabe EF'!$AI15)),'Eingabe EF'!$AI15,'Eingabe EF'!$AG15)</f>
        <v>15.027966720000002</v>
      </c>
      <c r="I180" s="17"/>
      <c r="J180" s="38">
        <f t="shared" si="19"/>
        <v>85.058737919999984</v>
      </c>
      <c r="K180" s="38">
        <f t="shared" si="18"/>
        <v>100.08670463999999</v>
      </c>
      <c r="L180" s="17" t="s">
        <v>199</v>
      </c>
      <c r="M180" s="43"/>
      <c r="N180" s="17"/>
      <c r="O180" s="17" t="s">
        <v>35</v>
      </c>
      <c r="P180" s="17" t="s">
        <v>78</v>
      </c>
      <c r="Q180" s="30"/>
      <c r="R180" s="17"/>
      <c r="S180" s="42">
        <f>IF(NOT(ISBLANK('Referenz Pflasterwerk'!$I28)),'Referenz Pflasterwerk'!$I28,'Referenz Pflasterwerk'!$F28)*IF(NOT(ISBLANK('Eingabe Preise'!$K14)),'Eingabe Preise'!$K14,'Eingabe Preise'!$I14)</f>
        <v>35968</v>
      </c>
      <c r="T180" s="20" t="s">
        <v>109</v>
      </c>
    </row>
    <row r="181" spans="2:21" ht="15.75" hidden="1" outlineLevel="1" x14ac:dyDescent="0.3">
      <c r="B181" s="17"/>
      <c r="C181" s="17" t="s">
        <v>77</v>
      </c>
      <c r="D181" s="17" t="s">
        <v>35</v>
      </c>
      <c r="E181" s="17"/>
      <c r="F181" s="38">
        <f>IF(NOT(ISBLANK('Referenz Pflasterwerk'!$I29)),'Referenz Pflasterwerk'!$I29,'Referenz Pflasterwerk'!$F29)*IF(NOT(ISBLANK('Eingabe EF'!$AA15)),'Eingabe EF'!$AA15,'Eingabe EF'!$Y15)</f>
        <v>10.632342239999998</v>
      </c>
      <c r="G181" s="38">
        <f>IF(NOT(ISBLANK('Referenz Pflasterwerk'!$I29)),'Referenz Pflasterwerk'!$I29,'Referenz Pflasterwerk'!$F29)*IF(NOT(ISBLANK('Eingabe EF'!$AE15)),'Eingabe EF'!$AE15,'Eingabe EF'!$AC15)</f>
        <v>0</v>
      </c>
      <c r="H181" s="38">
        <f>IF(NOT(ISBLANK('Referenz Pflasterwerk'!$I29)),'Referenz Pflasterwerk'!$I29,'Referenz Pflasterwerk'!$F29)*IF(NOT(ISBLANK('Eingabe EF'!$AI15)),'Eingabe EF'!$AI15,'Eingabe EF'!$AG15)</f>
        <v>1.8784958400000002</v>
      </c>
      <c r="I181" s="17"/>
      <c r="J181" s="38">
        <f t="shared" si="19"/>
        <v>10.632342239999998</v>
      </c>
      <c r="K181" s="38">
        <f t="shared" si="18"/>
        <v>12.510838079999999</v>
      </c>
      <c r="L181" s="17" t="s">
        <v>199</v>
      </c>
      <c r="M181" s="43"/>
      <c r="N181" s="17"/>
      <c r="O181" s="17" t="s">
        <v>35</v>
      </c>
      <c r="P181" s="17" t="s">
        <v>77</v>
      </c>
      <c r="Q181" s="30"/>
      <c r="R181" s="17"/>
      <c r="S181" s="42">
        <f>IF(NOT(ISBLANK('Referenz Pflasterwerk'!$I29)),'Referenz Pflasterwerk'!$I29,'Referenz Pflasterwerk'!$F29)*IF(NOT(ISBLANK('Eingabe Preise'!$K14)),'Eingabe Preise'!$K14,'Eingabe Preise'!$I14)</f>
        <v>4496</v>
      </c>
      <c r="T181" s="20" t="s">
        <v>109</v>
      </c>
    </row>
    <row r="182" spans="2:21" s="72" customFormat="1" ht="14.25" hidden="1" outlineLevel="1" x14ac:dyDescent="0.25">
      <c r="B182" s="69"/>
      <c r="C182" s="69" t="s">
        <v>190</v>
      </c>
      <c r="D182" s="69"/>
      <c r="E182" s="69"/>
      <c r="F182" s="71">
        <f>F183+F184</f>
        <v>0</v>
      </c>
      <c r="G182" s="71">
        <f t="shared" ref="G182:H182" si="20">G183+G184</f>
        <v>0</v>
      </c>
      <c r="H182" s="71">
        <f t="shared" si="20"/>
        <v>578.62626120000004</v>
      </c>
      <c r="I182" s="69"/>
      <c r="J182" s="71">
        <f t="shared" si="19"/>
        <v>0</v>
      </c>
      <c r="K182" s="71">
        <f t="shared" si="18"/>
        <v>578.62626120000004</v>
      </c>
      <c r="L182" s="76" t="s">
        <v>198</v>
      </c>
      <c r="N182" s="21"/>
      <c r="O182" s="21"/>
      <c r="P182" s="21"/>
      <c r="Q182" s="73"/>
      <c r="R182" s="21"/>
      <c r="S182" s="21"/>
      <c r="T182" s="21"/>
      <c r="U182" s="6"/>
    </row>
    <row r="183" spans="2:21" ht="15.75" hidden="1" outlineLevel="1" x14ac:dyDescent="0.3">
      <c r="B183" s="17"/>
      <c r="C183" s="17"/>
      <c r="D183" s="17" t="s">
        <v>46</v>
      </c>
      <c r="E183" s="17"/>
      <c r="F183" s="38">
        <f>IF(NOT(ISBLANK('Referenz Pflasterwerk'!$I32)),'Referenz Pflasterwerk'!$I32,'Referenz Pflasterwerk'!$F32)*IF(NOT(ISBLANK('Eingabe EF'!$AA17)),'Eingabe EF'!$AA17,'Eingabe EF'!$Y17)</f>
        <v>0</v>
      </c>
      <c r="G183" s="38">
        <f>IF(NOT(ISBLANK('Referenz Pflasterwerk'!$I32)),'Referenz Pflasterwerk'!$I32,'Referenz Pflasterwerk'!$F32)*IF(NOT(ISBLANK('Eingabe EF'!$AE17)),'Eingabe EF'!$AE17,'Eingabe EF'!$AC17)</f>
        <v>0</v>
      </c>
      <c r="H183" s="38">
        <f>IF(NOT(ISBLANK('Referenz Pflasterwerk'!$I32)),'Referenz Pflasterwerk'!$I32,'Referenz Pflasterwerk'!$F32)*IF(NOT(ISBLANK('Eingabe EF'!$AI17)),'Eingabe EF'!$AI17,'Eingabe EF'!$AG17)</f>
        <v>250.21676159999998</v>
      </c>
      <c r="I183" s="17"/>
      <c r="J183" s="38">
        <f t="shared" si="19"/>
        <v>0</v>
      </c>
      <c r="K183" s="38">
        <f t="shared" si="18"/>
        <v>250.21676159999998</v>
      </c>
      <c r="L183" s="17" t="s">
        <v>199</v>
      </c>
      <c r="M183" s="43"/>
      <c r="N183" s="17"/>
      <c r="O183" s="17"/>
      <c r="P183" s="17"/>
      <c r="Q183" s="30"/>
      <c r="R183" s="17"/>
      <c r="S183" s="17"/>
      <c r="T183" s="17"/>
    </row>
    <row r="184" spans="2:21" ht="15.75" hidden="1" outlineLevel="1" x14ac:dyDescent="0.3">
      <c r="B184" s="17"/>
      <c r="C184" s="17"/>
      <c r="D184" s="17" t="s">
        <v>47</v>
      </c>
      <c r="E184" s="17"/>
      <c r="F184" s="38">
        <f>IF(NOT(ISBLANK('Referenz Pflasterwerk'!$I33)),'Referenz Pflasterwerk'!$I33,'Referenz Pflasterwerk'!$F33)*IF(NOT(ISBLANK('Eingabe EF'!$AA18)),'Eingabe EF'!$AA18,'Eingabe EF'!$Y18)</f>
        <v>0</v>
      </c>
      <c r="G184" s="38">
        <f>IF(NOT(ISBLANK('Referenz Pflasterwerk'!$I33)),'Referenz Pflasterwerk'!$I33,'Referenz Pflasterwerk'!$F33)*IF(NOT(ISBLANK('Eingabe EF'!$AE18)),'Eingabe EF'!$AE18,'Eingabe EF'!$AC18)</f>
        <v>0</v>
      </c>
      <c r="H184" s="38">
        <f>IF(NOT(ISBLANK('Referenz Pflasterwerk'!$I33)),'Referenz Pflasterwerk'!$I33,'Referenz Pflasterwerk'!$F33)*IF(NOT(ISBLANK('Eingabe EF'!$AI18)),'Eingabe EF'!$AI18,'Eingabe EF'!$AG18)</f>
        <v>328.4094996</v>
      </c>
      <c r="I184" s="17"/>
      <c r="J184" s="38">
        <f t="shared" si="19"/>
        <v>0</v>
      </c>
      <c r="K184" s="38">
        <f t="shared" si="18"/>
        <v>328.4094996</v>
      </c>
      <c r="L184" s="17" t="s">
        <v>199</v>
      </c>
      <c r="M184" s="43"/>
      <c r="N184" s="17"/>
      <c r="O184" s="17" t="s">
        <v>31</v>
      </c>
      <c r="P184" s="17"/>
      <c r="Q184" s="30"/>
      <c r="R184" s="17"/>
      <c r="S184" s="42">
        <f>IF(NOT(ISBLANK($G$31)),$G$31,$E$31)/IF(NOT(ISBLANK($G$36)),$G$36,$E$36)+IF(NOT(ISBLANK($G$31)),$G$31,$E$31)*(IF(NOT(ISBLANK($G$37)),$G$37,$E$37)/100)</f>
        <v>0</v>
      </c>
      <c r="T184" s="20" t="s">
        <v>109</v>
      </c>
    </row>
    <row r="185" spans="2:21" hidden="1" outlineLevel="1" x14ac:dyDescent="0.2">
      <c r="B185" s="17"/>
      <c r="C185" s="17"/>
      <c r="D185" s="17"/>
      <c r="E185" s="17"/>
      <c r="F185" s="20"/>
      <c r="G185" s="20"/>
      <c r="H185" s="20"/>
      <c r="I185" s="17"/>
      <c r="J185" s="20"/>
      <c r="K185" s="20"/>
      <c r="L185" s="17"/>
      <c r="N185" s="17"/>
      <c r="O185" s="45" t="s">
        <v>155</v>
      </c>
      <c r="P185" s="17"/>
      <c r="Q185" s="30"/>
      <c r="R185" s="17"/>
      <c r="S185" s="42">
        <f>IF(NOT(ISBLANK($G$32)),$G$32,$E$32)</f>
        <v>0</v>
      </c>
      <c r="T185" s="20" t="s">
        <v>109</v>
      </c>
    </row>
    <row r="186" spans="2:21" ht="14.25" hidden="1" outlineLevel="1" x14ac:dyDescent="0.25">
      <c r="B186" s="69"/>
      <c r="C186" s="69" t="s">
        <v>69</v>
      </c>
      <c r="D186" s="70"/>
      <c r="E186" s="70"/>
      <c r="F186" s="71">
        <f>SUM(F187:F189)</f>
        <v>0</v>
      </c>
      <c r="G186" s="71">
        <f>SUM(G187:G189)</f>
        <v>0</v>
      </c>
      <c r="H186" s="71">
        <f>SUM(H187:H189)</f>
        <v>7683.24</v>
      </c>
      <c r="I186" s="70"/>
      <c r="J186" s="71">
        <f t="shared" ref="J186:J190" si="21">F186+G186</f>
        <v>0</v>
      </c>
      <c r="K186" s="71">
        <f t="shared" ref="K186:K189" si="22">SUM(F186:H186)</f>
        <v>7683.24</v>
      </c>
      <c r="L186" s="76" t="s">
        <v>198</v>
      </c>
      <c r="N186" s="17"/>
      <c r="O186" s="45" t="s">
        <v>162</v>
      </c>
      <c r="P186" s="17"/>
      <c r="Q186" s="30"/>
      <c r="R186" s="17"/>
      <c r="S186" s="42">
        <f>IF(NOT(ISBLANK($G$33)),$G$33,$E$33)/IF(NOT(ISBLANK($G$36)),$G$36,$E$36)+IF(NOT(ISBLANK($G$33)),$G$33,$E$33)*(IF(NOT(ISBLANK($G$37)),$G$37,$E$37)/100)</f>
        <v>0</v>
      </c>
      <c r="T186" s="20" t="s">
        <v>109</v>
      </c>
    </row>
    <row r="187" spans="2:21" ht="15.75" hidden="1" outlineLevel="1" x14ac:dyDescent="0.3">
      <c r="B187" s="302"/>
      <c r="C187" s="17"/>
      <c r="D187" s="17" t="s">
        <v>48</v>
      </c>
      <c r="E187" s="17"/>
      <c r="F187" s="38">
        <f>$E$156*IF(NOT(ISBLANK('Referenz Pflasterwerk'!$I36)),'Referenz Pflasterwerk'!$I36,'Referenz Pflasterwerk'!$F36)*IF(NOT(ISBLANK('Eingabe EF'!$AA21)),'Eingabe EF'!$AA21,'Eingabe EF'!$Y21)*IF(NOT(ISBLANK('Referenz Pflasterwerk'!$I$12)),'Referenz Pflasterwerk'!$I$12,'Referenz Pflasterwerk'!$F$12)</f>
        <v>0</v>
      </c>
      <c r="G187" s="38">
        <f>$E$156*IF(NOT(ISBLANK('Referenz Pflasterwerk'!$I36)),'Referenz Pflasterwerk'!$I36,'Referenz Pflasterwerk'!$F36)*IF(NOT(ISBLANK('Eingabe EF'!$AE21)),'Eingabe EF'!$AE21,'Eingabe EF'!$AC21)*IF(NOT(ISBLANK('Referenz Pflasterwerk'!$I$12)),'Referenz Pflasterwerk'!$I$12,'Referenz Pflasterwerk'!$F$12)</f>
        <v>0</v>
      </c>
      <c r="H187" s="38">
        <f>IF(NOT(ISBLANK('Referenz Pflasterwerk'!$I36)),'Referenz Pflasterwerk'!$I36,'Referenz Pflasterwerk'!$F36)*IF(NOT(ISBLANK('Eingabe EF'!$AI21)),'Eingabe EF'!$AI21,'Eingabe EF'!$AG21)*IF(NOT(ISBLANK('Referenz Pflasterwerk'!$I$12)),'Referenz Pflasterwerk'!$I$12,'Referenz Pflasterwerk'!$F$12)</f>
        <v>2144.625</v>
      </c>
      <c r="I187" s="17"/>
      <c r="J187" s="38">
        <f t="shared" si="21"/>
        <v>0</v>
      </c>
      <c r="K187" s="38">
        <f t="shared" si="22"/>
        <v>2144.625</v>
      </c>
      <c r="L187" s="17" t="s">
        <v>199</v>
      </c>
      <c r="M187" s="43"/>
      <c r="N187" s="17"/>
      <c r="O187" s="17"/>
      <c r="P187" s="17"/>
      <c r="Q187" s="17"/>
      <c r="R187" s="17"/>
      <c r="S187" s="17"/>
      <c r="T187" s="17"/>
    </row>
    <row r="188" spans="2:21" ht="15.75" hidden="1" outlineLevel="1" x14ac:dyDescent="0.3">
      <c r="B188" s="302"/>
      <c r="C188" s="17"/>
      <c r="D188" s="17" t="s">
        <v>50</v>
      </c>
      <c r="E188" s="17"/>
      <c r="F188" s="38">
        <f>$E$157*IF(NOT(ISBLANK('Referenz Pflasterwerk'!$I37)),'Referenz Pflasterwerk'!$I37,'Referenz Pflasterwerk'!$F37)*IF(NOT(ISBLANK('Eingabe EF'!$AA22)),'Eingabe EF'!$AA22,'Eingabe EF'!$Y22)*IF(NOT(ISBLANK('Referenz Pflasterwerk'!$I$12)),'Referenz Pflasterwerk'!$I$12,'Referenz Pflasterwerk'!$F$12)</f>
        <v>0</v>
      </c>
      <c r="G188" s="38">
        <f>$E$157*IF(NOT(ISBLANK('Referenz Pflasterwerk'!$I37)),'Referenz Pflasterwerk'!$I37,'Referenz Pflasterwerk'!$F37)*IF(NOT(ISBLANK('Eingabe EF'!$AE22)),'Eingabe EF'!$AE22,'Eingabe EF'!$AC22)*IF(NOT(ISBLANK('Referenz Pflasterwerk'!$I$12)),'Referenz Pflasterwerk'!$I$12,'Referenz Pflasterwerk'!$F$12)</f>
        <v>0</v>
      </c>
      <c r="H188" s="38">
        <f>IF(NOT(ISBLANK('Referenz Pflasterwerk'!$I37)),'Referenz Pflasterwerk'!$I37,'Referenz Pflasterwerk'!$F37)*IF(NOT(ISBLANK('Eingabe EF'!$AI22)),'Eingabe EF'!$AI22,'Eingabe EF'!$AG22)*IF(NOT(ISBLANK('Referenz Pflasterwerk'!$I$12)),'Referenz Pflasterwerk'!$I$12,'Referenz Pflasterwerk'!$F$12)</f>
        <v>4993.59</v>
      </c>
      <c r="I188" s="17"/>
      <c r="J188" s="38">
        <f t="shared" si="21"/>
        <v>0</v>
      </c>
      <c r="K188" s="38">
        <f t="shared" si="22"/>
        <v>4993.59</v>
      </c>
      <c r="L188" s="17" t="s">
        <v>199</v>
      </c>
      <c r="M188" s="43"/>
      <c r="N188" s="17"/>
      <c r="O188" s="17"/>
      <c r="P188" s="17"/>
      <c r="Q188" s="17"/>
      <c r="R188" s="17"/>
      <c r="S188" s="17"/>
      <c r="T188" s="17"/>
    </row>
    <row r="189" spans="2:21" ht="15.75" hidden="1" outlineLevel="1" x14ac:dyDescent="0.3">
      <c r="B189" s="302"/>
      <c r="C189" s="17"/>
      <c r="D189" s="17" t="s">
        <v>51</v>
      </c>
      <c r="E189" s="17"/>
      <c r="F189" s="38">
        <f>$E$158*IF(NOT(ISBLANK('Referenz Pflasterwerk'!$I38)),'Referenz Pflasterwerk'!$I38,'Referenz Pflasterwerk'!$F38)*IF(NOT(ISBLANK('Eingabe EF'!$AA23)),'Eingabe EF'!$AA23,'Eingabe EF'!$Y23)*IF(NOT(ISBLANK('Referenz Pflasterwerk'!$I$12)),'Referenz Pflasterwerk'!$I$12,'Referenz Pflasterwerk'!$F$12)</f>
        <v>0</v>
      </c>
      <c r="G189" s="38">
        <f>$E$158*IF(NOT(ISBLANK('Referenz Pflasterwerk'!$I38)),'Referenz Pflasterwerk'!$I38,'Referenz Pflasterwerk'!$F38)*IF(NOT(ISBLANK('Eingabe EF'!$AE23)),'Eingabe EF'!$AE23,'Eingabe EF'!$AC23)*IF(NOT(ISBLANK('Referenz Pflasterwerk'!$I$12)),'Referenz Pflasterwerk'!$I$12,'Referenz Pflasterwerk'!$F$12)</f>
        <v>0</v>
      </c>
      <c r="H189" s="38">
        <f>IF(NOT(ISBLANK('Referenz Pflasterwerk'!$I38)),'Referenz Pflasterwerk'!$I38,'Referenz Pflasterwerk'!$F38)*IF(NOT(ISBLANK('Eingabe EF'!$AI23)),'Eingabe EF'!$AI23,'Eingabe EF'!$AG23)*IF(NOT(ISBLANK('Referenz Pflasterwerk'!$I$12)),'Referenz Pflasterwerk'!$I$12,'Referenz Pflasterwerk'!$F$12)</f>
        <v>545.02499999999998</v>
      </c>
      <c r="I189" s="17"/>
      <c r="J189" s="38">
        <f t="shared" si="21"/>
        <v>0</v>
      </c>
      <c r="K189" s="38">
        <f t="shared" si="22"/>
        <v>545.02499999999998</v>
      </c>
      <c r="L189" s="17" t="s">
        <v>199</v>
      </c>
      <c r="M189" s="43"/>
      <c r="N189" s="17"/>
      <c r="O189" s="17" t="s">
        <v>201</v>
      </c>
      <c r="P189" s="17"/>
      <c r="Q189" s="30"/>
      <c r="R189" s="17"/>
      <c r="S189" s="42">
        <f>F230*IF(NOT(ISBLANK('Eingabe Preise'!$K21)),'Eingabe Preise'!$K21,'Eingabe Preise'!$I21)</f>
        <v>4797.0396071999994</v>
      </c>
      <c r="T189" s="20" t="s">
        <v>109</v>
      </c>
    </row>
    <row r="190" spans="2:21" ht="15.75" hidden="1" outlineLevel="1" x14ac:dyDescent="0.3">
      <c r="B190" s="302"/>
      <c r="C190" s="17"/>
      <c r="D190" s="17" t="s">
        <v>163</v>
      </c>
      <c r="E190" s="17"/>
      <c r="F190" s="38">
        <f>$E$158*IF(NOT(ISBLANK('Referenz Pflasterwerk'!$I39)),'Referenz Pflasterwerk'!$I39,'Referenz Pflasterwerk'!$F39)*IF(NOT(ISBLANK('Eingabe EF'!$AA24)),'Eingabe EF'!$AA24,'Eingabe EF'!$Y24)*IF(NOT(ISBLANK('Referenz Pflasterwerk'!$I$12)),'Referenz Pflasterwerk'!$I$12,'Referenz Pflasterwerk'!$F$12)</f>
        <v>0</v>
      </c>
      <c r="G190" s="38">
        <f>$E$158*IF(NOT(ISBLANK('Referenz Pflasterwerk'!$I39)),'Referenz Pflasterwerk'!$I39,'Referenz Pflasterwerk'!$F39)*IF(NOT(ISBLANK('Eingabe EF'!$AE24)),'Eingabe EF'!$AE24,'Eingabe EF'!$AC24)*IF(NOT(ISBLANK('Referenz Pflasterwerk'!$I$12)),'Referenz Pflasterwerk'!$I$12,'Referenz Pflasterwerk'!$F$12)</f>
        <v>0</v>
      </c>
      <c r="H190" s="38">
        <f>IF(NOT(ISBLANK('Referenz Pflasterwerk'!$I39)),'Referenz Pflasterwerk'!$I39,'Referenz Pflasterwerk'!$F39)*IF(NOT(ISBLANK('Eingabe EF'!$AI24)),'Eingabe EF'!$AI24,0)*IF(NOT(ISBLANK('Referenz Pflasterwerk'!$I$12)),'Referenz Pflasterwerk'!$I$12,'Referenz Pflasterwerk'!$F$12)</f>
        <v>0</v>
      </c>
      <c r="I190" s="17"/>
      <c r="J190" s="38">
        <f t="shared" si="21"/>
        <v>0</v>
      </c>
      <c r="K190" s="38">
        <f t="shared" ref="K190" si="23">SUM(F190:H190)</f>
        <v>0</v>
      </c>
      <c r="L190" s="17" t="s">
        <v>199</v>
      </c>
      <c r="M190" s="43"/>
      <c r="N190" s="17"/>
      <c r="O190" s="17" t="s">
        <v>202</v>
      </c>
      <c r="P190" s="17"/>
      <c r="Q190" s="30"/>
      <c r="R190" s="17"/>
      <c r="S190" s="42">
        <f>G230*IF(NOT(ISBLANK('Eingabe Preise'!$K22)),'Eingabe Preise'!$K22,'Eingabe Preise'!$I22)</f>
        <v>9366.9335316535035</v>
      </c>
      <c r="T190" s="20" t="s">
        <v>109</v>
      </c>
    </row>
    <row r="191" spans="2:21" ht="15.75" hidden="1" outlineLevel="1" x14ac:dyDescent="0.3">
      <c r="B191" s="17"/>
      <c r="C191" s="17"/>
      <c r="D191" s="17"/>
      <c r="E191" s="17"/>
      <c r="F191" s="20"/>
      <c r="G191" s="20"/>
      <c r="H191" s="20"/>
      <c r="I191" s="17"/>
      <c r="J191" s="17"/>
      <c r="K191" s="20"/>
      <c r="L191" s="20"/>
      <c r="M191" s="43"/>
      <c r="N191" s="17"/>
      <c r="O191" s="17" t="s">
        <v>203</v>
      </c>
      <c r="P191" s="17"/>
      <c r="Q191" s="30"/>
      <c r="R191" s="17"/>
      <c r="S191" s="42">
        <f>H230*IF(NOT(ISBLANK('Eingabe Preise'!$K23)),'Eingabe Preise'!$K23,'Eingabe Preise'!$I23)</f>
        <v>472911.19625092886</v>
      </c>
      <c r="T191" s="20" t="s">
        <v>109</v>
      </c>
    </row>
    <row r="192" spans="2:21" ht="14.25" hidden="1" outlineLevel="1" x14ac:dyDescent="0.25">
      <c r="B192" s="69"/>
      <c r="C192" s="69" t="s">
        <v>178</v>
      </c>
      <c r="D192" s="70"/>
      <c r="E192" s="70"/>
      <c r="F192" s="71">
        <f>SUM(F193:F195)</f>
        <v>0</v>
      </c>
      <c r="G192" s="71">
        <f>SUM(G193:G195)</f>
        <v>0</v>
      </c>
      <c r="H192" s="71">
        <f>SUM(H193:H195)</f>
        <v>387.03000000000003</v>
      </c>
      <c r="I192" s="70"/>
      <c r="J192" s="71">
        <f t="shared" ref="J192" si="24">F192+G192</f>
        <v>0</v>
      </c>
      <c r="K192" s="71">
        <f t="shared" ref="K192" si="25">SUM(F192:H192)</f>
        <v>387.03000000000003</v>
      </c>
      <c r="L192" s="76" t="s">
        <v>198</v>
      </c>
      <c r="M192" s="43"/>
      <c r="N192" s="17"/>
      <c r="O192" s="17"/>
      <c r="P192" s="17"/>
      <c r="Q192" s="30"/>
      <c r="R192" s="17"/>
      <c r="S192" s="66"/>
      <c r="T192" s="17"/>
    </row>
    <row r="193" spans="2:20" ht="15.75" hidden="1" outlineLevel="1" x14ac:dyDescent="0.3">
      <c r="B193" s="17"/>
      <c r="C193" s="17"/>
      <c r="D193" s="17" t="s">
        <v>179</v>
      </c>
      <c r="E193" s="17"/>
      <c r="F193" s="38">
        <f>IF(NOT(ISBLANK('Referenz Pflasterwerk'!$I42)),'Referenz Pflasterwerk'!$I42,'Referenz Pflasterwerk'!$F42)*IF(NOT(ISBLANK('Eingabe EF'!$AA27)),'Eingabe EF'!$AA27,'Eingabe EF'!$Y27)*IF(NOT(ISBLANK('Referenz Pflasterwerk'!$I$12)),'Referenz Pflasterwerk'!$I$12,'Referenz Pflasterwerk'!$F$12)</f>
        <v>0</v>
      </c>
      <c r="G193" s="38">
        <f>IF(NOT(ISBLANK('Referenz Pflasterwerk'!$I42)),'Referenz Pflasterwerk'!$I42,'Referenz Pflasterwerk'!$F42)*IF(NOT(ISBLANK('Eingabe EF'!$AE27)),'Eingabe EF'!$AE27,'Eingabe EF'!$AC27)*IF(NOT(ISBLANK('Referenz Pflasterwerk'!$I$12)),'Referenz Pflasterwerk'!$I$12,'Referenz Pflasterwerk'!$F$12)</f>
        <v>0</v>
      </c>
      <c r="H193" s="38">
        <f>$E$156*IF(NOT(ISBLANK('Referenz Pflasterwerk'!$I42)),'Referenz Pflasterwerk'!$I42,'Referenz Pflasterwerk'!$F42)*IF(NOT(ISBLANK('Eingabe EF'!$AI27)),'Eingabe EF'!$AI27,'Eingabe EF'!$AG27)*IF(NOT(ISBLANK('Referenz Pflasterwerk'!$I$12)),'Referenz Pflasterwerk'!$I$12,'Referenz Pflasterwerk'!$F$12)</f>
        <v>387.03000000000003</v>
      </c>
      <c r="I193" s="17"/>
      <c r="J193" s="38">
        <f>F193+G193</f>
        <v>0</v>
      </c>
      <c r="K193" s="38">
        <f>SUM(F193:H193)</f>
        <v>387.03000000000003</v>
      </c>
      <c r="L193" s="17" t="s">
        <v>199</v>
      </c>
      <c r="M193" s="43"/>
      <c r="N193" s="17"/>
      <c r="O193" s="17"/>
      <c r="P193" s="17"/>
      <c r="Q193" s="30"/>
      <c r="R193" s="17"/>
      <c r="S193" s="17"/>
      <c r="T193" s="17"/>
    </row>
    <row r="194" spans="2:20" ht="15.75" hidden="1" outlineLevel="1" x14ac:dyDescent="0.3">
      <c r="B194" s="17"/>
      <c r="C194" s="17"/>
      <c r="D194" s="17" t="s">
        <v>180</v>
      </c>
      <c r="E194" s="17"/>
      <c r="F194" s="38">
        <f>IF(NOT(ISBLANK('Referenz Pflasterwerk'!$I43)),'Referenz Pflasterwerk'!$I43,'Referenz Pflasterwerk'!$F43)*IF(NOT(ISBLANK('Eingabe EF'!$AA28)),'Eingabe EF'!$AA28,0)*IF(NOT(ISBLANK('Referenz Pflasterwerk'!$I$12)),'Referenz Pflasterwerk'!$I$12,'Referenz Pflasterwerk'!$F$12)</f>
        <v>0</v>
      </c>
      <c r="G194" s="38">
        <f>IF(NOT(ISBLANK('Referenz Pflasterwerk'!$I43)),'Referenz Pflasterwerk'!$I43,'Referenz Pflasterwerk'!$F43)*IF(NOT(ISBLANK('Eingabe EF'!$AE28)),'Eingabe EF'!$AE28,0)*IF(NOT(ISBLANK('Referenz Pflasterwerk'!$I$12)),'Referenz Pflasterwerk'!$I$12,'Referenz Pflasterwerk'!$F$12)</f>
        <v>0</v>
      </c>
      <c r="H194" s="38">
        <f>$E$157*IF(NOT(ISBLANK('Referenz Pflasterwerk'!$I43)),'Referenz Pflasterwerk'!$I43,'Referenz Pflasterwerk'!$F43)*IF(NOT(ISBLANK('Eingabe EF'!$AI28)),'Eingabe EF'!$AI28,0)*IF(NOT(ISBLANK('Referenz Pflasterwerk'!$I$12)),'Referenz Pflasterwerk'!$I$12,'Referenz Pflasterwerk'!$F$12)</f>
        <v>0</v>
      </c>
      <c r="I194" s="17"/>
      <c r="J194" s="38">
        <f t="shared" ref="J194:J195" si="26">F194+G194</f>
        <v>0</v>
      </c>
      <c r="K194" s="38">
        <f t="shared" ref="K194:K195" si="27">SUM(F194:H194)</f>
        <v>0</v>
      </c>
      <c r="L194" s="17" t="s">
        <v>199</v>
      </c>
      <c r="M194" s="43"/>
      <c r="N194" s="17"/>
      <c r="O194" s="17"/>
      <c r="P194" s="17"/>
      <c r="Q194" s="30"/>
      <c r="R194" s="17"/>
      <c r="S194" s="66"/>
      <c r="T194" s="17"/>
    </row>
    <row r="195" spans="2:20" ht="15.75" hidden="1" outlineLevel="1" x14ac:dyDescent="0.3">
      <c r="B195" s="17"/>
      <c r="C195" s="17"/>
      <c r="D195" s="17" t="s">
        <v>181</v>
      </c>
      <c r="E195" s="17"/>
      <c r="F195" s="38">
        <f>IF(NOT(ISBLANK('Referenz Pflasterwerk'!$I44)),'Referenz Pflasterwerk'!$I44,'Referenz Pflasterwerk'!$F44)*IF(NOT(ISBLANK('Eingabe EF'!$AA29)),'Eingabe EF'!$AA29,0)*IF(NOT(ISBLANK('Referenz Pflasterwerk'!$I$12)),'Referenz Pflasterwerk'!$I$12,'Referenz Pflasterwerk'!$F$12)</f>
        <v>0</v>
      </c>
      <c r="G195" s="38">
        <f>IF(NOT(ISBLANK('Referenz Pflasterwerk'!$I44)),'Referenz Pflasterwerk'!$I44,'Referenz Pflasterwerk'!$F44)*IF(NOT(ISBLANK('Eingabe EF'!$AE29)),'Eingabe EF'!$AE29,0)*IF(NOT(ISBLANK('Referenz Pflasterwerk'!$I$12)),'Referenz Pflasterwerk'!$I$12,'Referenz Pflasterwerk'!$F$12)</f>
        <v>0</v>
      </c>
      <c r="H195" s="38">
        <f>$E$158*IF(NOT(ISBLANK('Referenz Pflasterwerk'!$I44)),'Referenz Pflasterwerk'!$I44,'Referenz Pflasterwerk'!$F44)*IF(NOT(ISBLANK('Eingabe EF'!$AI29)),'Eingabe EF'!$AI29,0)*IF(NOT(ISBLANK('Referenz Pflasterwerk'!$I$12)),'Referenz Pflasterwerk'!$I$12,'Referenz Pflasterwerk'!$F$12)</f>
        <v>0</v>
      </c>
      <c r="I195" s="17"/>
      <c r="J195" s="38">
        <f t="shared" si="26"/>
        <v>0</v>
      </c>
      <c r="K195" s="38">
        <f t="shared" si="27"/>
        <v>0</v>
      </c>
      <c r="L195" s="17" t="s">
        <v>199</v>
      </c>
      <c r="M195" s="43"/>
      <c r="N195" s="43"/>
      <c r="O195" s="43"/>
      <c r="P195" s="43"/>
      <c r="Q195" s="43"/>
      <c r="R195" s="43"/>
      <c r="S195" s="43"/>
    </row>
    <row r="196" spans="2:20" hidden="1" outlineLevel="1" x14ac:dyDescent="0.2">
      <c r="B196" s="17"/>
      <c r="C196" s="17"/>
      <c r="D196" s="17"/>
      <c r="E196" s="17"/>
      <c r="F196" s="20"/>
      <c r="G196" s="20"/>
      <c r="H196" s="20"/>
      <c r="I196" s="17"/>
      <c r="J196" s="17"/>
      <c r="K196" s="20"/>
      <c r="L196" s="20"/>
      <c r="M196" s="43"/>
      <c r="N196" s="43"/>
      <c r="O196" s="43"/>
      <c r="P196" s="43"/>
      <c r="Q196" s="43"/>
      <c r="R196" s="43"/>
      <c r="S196" s="43"/>
    </row>
    <row r="197" spans="2:20" ht="14.25" hidden="1" outlineLevel="1" x14ac:dyDescent="0.25">
      <c r="B197" s="17"/>
      <c r="C197" s="17"/>
      <c r="D197" s="21" t="s">
        <v>58</v>
      </c>
      <c r="E197" s="21"/>
      <c r="F197" s="74">
        <f>IF(NOT(ISBLANK('Referenz Pflasterwerk'!$I46)),'Referenz Pflasterwerk'!$I46,'Referenz Pflasterwerk'!$F46)*IF(NOT(ISBLANK('Eingabe EF'!$AA31)),'Eingabe EF'!$AA31,'Eingabe EF'!$Y31)*IF(NOT(ISBLANK('Referenz Pflasterwerk'!$I$12)),'Referenz Pflasterwerk'!$I$12,'Referenz Pflasterwerk'!$F$12)</f>
        <v>0</v>
      </c>
      <c r="G197" s="74">
        <f>IF(NOT(ISBLANK('Referenz Pflasterwerk'!$I46)),'Referenz Pflasterwerk'!$I46,'Referenz Pflasterwerk'!$F46)*IF(NOT(ISBLANK('Eingabe EF'!$AE31)),'Eingabe EF'!$AE31,'Eingabe EF'!$AC31)*IF(NOT(ISBLANK('Referenz Pflasterwerk'!$I$12)),'Referenz Pflasterwerk'!$I$12,'Referenz Pflasterwerk'!$F$12)</f>
        <v>0</v>
      </c>
      <c r="H197" s="74">
        <f>IF(NOT(ISBLANK('Referenz Pflasterwerk'!$I46)),'Referenz Pflasterwerk'!$I46,'Referenz Pflasterwerk'!$F46)*IF(NOT(ISBLANK('Eingabe EF'!$AI31)),'Eingabe EF'!$AI31,'Eingabe EF'!$AG31)*IF(NOT(ISBLANK('Referenz Pflasterwerk'!$I$12)),'Referenz Pflasterwerk'!$I$12,'Referenz Pflasterwerk'!$F$12)</f>
        <v>1040</v>
      </c>
      <c r="I197" s="21"/>
      <c r="J197" s="74">
        <f>F197+G197</f>
        <v>0</v>
      </c>
      <c r="K197" s="74">
        <f t="shared" ref="K197" si="28">SUM(F197:H197)</f>
        <v>1040</v>
      </c>
      <c r="L197" s="21" t="s">
        <v>198</v>
      </c>
      <c r="M197" s="43"/>
      <c r="N197" s="43"/>
      <c r="O197" s="43"/>
      <c r="P197" s="43"/>
      <c r="Q197" s="43"/>
      <c r="R197" s="43"/>
      <c r="S197" s="43"/>
    </row>
    <row r="198" spans="2:20" hidden="1" outlineLevel="1" x14ac:dyDescent="0.2">
      <c r="B198" s="17"/>
      <c r="C198" s="17"/>
      <c r="D198" s="17"/>
      <c r="E198" s="17"/>
      <c r="F198" s="20"/>
      <c r="G198" s="20"/>
      <c r="H198" s="20"/>
      <c r="I198" s="17"/>
      <c r="J198" s="17"/>
      <c r="K198" s="20"/>
      <c r="L198" s="20"/>
      <c r="M198" s="43"/>
      <c r="N198" s="43"/>
      <c r="O198" s="43"/>
      <c r="P198" s="43"/>
      <c r="Q198" s="43"/>
      <c r="R198" s="43"/>
      <c r="S198" s="43"/>
    </row>
    <row r="199" spans="2:20" ht="14.25" hidden="1" outlineLevel="1" x14ac:dyDescent="0.25">
      <c r="B199" s="69"/>
      <c r="C199" s="69" t="s">
        <v>182</v>
      </c>
      <c r="D199" s="70"/>
      <c r="E199" s="70"/>
      <c r="F199" s="71">
        <f>SUM(F200:F202)</f>
        <v>0</v>
      </c>
      <c r="G199" s="71">
        <f>SUM(G200:G202)</f>
        <v>0</v>
      </c>
      <c r="H199" s="71">
        <f>SUM(H200:H202)</f>
        <v>424.19999999999993</v>
      </c>
      <c r="I199" s="70"/>
      <c r="J199" s="71">
        <f t="shared" ref="J199" si="29">F199+G199</f>
        <v>0</v>
      </c>
      <c r="K199" s="71">
        <f t="shared" ref="K199" si="30">SUM(F199:H199)</f>
        <v>424.19999999999993</v>
      </c>
      <c r="L199" s="76" t="s">
        <v>198</v>
      </c>
      <c r="M199" s="43"/>
      <c r="N199" s="43"/>
      <c r="O199" s="43"/>
      <c r="P199" s="43"/>
      <c r="Q199" s="43"/>
      <c r="R199" s="43"/>
      <c r="S199" s="43"/>
    </row>
    <row r="200" spans="2:20" ht="15.75" hidden="1" outlineLevel="1" x14ac:dyDescent="0.3">
      <c r="B200" s="17"/>
      <c r="C200" s="17"/>
      <c r="D200" s="17" t="s">
        <v>60</v>
      </c>
      <c r="E200" s="17"/>
      <c r="F200" s="38">
        <f>IF(NOT(ISBLANK('Referenz Pflasterwerk'!$I49)),'Referenz Pflasterwerk'!$I49,'Referenz Pflasterwerk'!$F49)*IF(NOT(ISBLANK('Eingabe EF'!$AA34)),'Eingabe EF'!$AA34,'Eingabe EF'!$Y34)*IF(NOT(ISBLANK('Referenz Pflasterwerk'!$I$12)),'Referenz Pflasterwerk'!$I$12,'Referenz Pflasterwerk'!$F$12)</f>
        <v>0</v>
      </c>
      <c r="G200" s="38">
        <f>IF(NOT(ISBLANK('Referenz Pflasterwerk'!$I49)),'Referenz Pflasterwerk'!$I49,'Referenz Pflasterwerk'!$F49)*IF(NOT(ISBLANK('Eingabe EF'!$AE34)),'Eingabe EF'!$AE34,'Eingabe EF'!$AC34)*IF(NOT(ISBLANK('Referenz Pflasterwerk'!$I$12)),'Referenz Pflasterwerk'!$I$12,'Referenz Pflasterwerk'!$F$12)</f>
        <v>0</v>
      </c>
      <c r="H200" s="38">
        <f>IF(NOT(ISBLANK('Referenz Pflasterwerk'!$I49)),'Referenz Pflasterwerk'!$I49,'Referenz Pflasterwerk'!$F49)*IF(NOT(ISBLANK('Eingabe EF'!$AI34)),'Eingabe EF'!$AI34,'Eingabe EF'!$AG34)*IF(NOT(ISBLANK('Referenz Pflasterwerk'!$I$12)),'Referenz Pflasterwerk'!$I$12,'Referenz Pflasterwerk'!$F$12)</f>
        <v>356.4</v>
      </c>
      <c r="I200" s="17"/>
      <c r="J200" s="38">
        <f>F200+G200</f>
        <v>0</v>
      </c>
      <c r="K200" s="38">
        <f>SUM(F200:H200)</f>
        <v>356.4</v>
      </c>
      <c r="L200" s="17" t="s">
        <v>199</v>
      </c>
      <c r="M200" s="43"/>
      <c r="N200" s="43"/>
      <c r="O200" s="43"/>
      <c r="P200" s="43"/>
      <c r="Q200" s="43"/>
      <c r="R200" s="43"/>
      <c r="S200" s="43"/>
    </row>
    <row r="201" spans="2:20" ht="15.75" hidden="1" outlineLevel="1" x14ac:dyDescent="0.3">
      <c r="B201" s="302"/>
      <c r="C201" s="17"/>
      <c r="D201" s="17" t="s">
        <v>61</v>
      </c>
      <c r="E201" s="17"/>
      <c r="F201" s="38">
        <f>IF(NOT(ISBLANK('Referenz Pflasterwerk'!$I50)),'Referenz Pflasterwerk'!$I50,'Referenz Pflasterwerk'!$F50)*IF(NOT(ISBLANK('Eingabe EF'!$AA35)),'Eingabe EF'!$AA35,'Eingabe EF'!$Y35)*IF(NOT(ISBLANK('Referenz Pflasterwerk'!$I$12)),'Referenz Pflasterwerk'!$I$12,'Referenz Pflasterwerk'!$F$12)</f>
        <v>0</v>
      </c>
      <c r="G201" s="38">
        <f>IF(NOT(ISBLANK('Referenz Pflasterwerk'!$I50)),'Referenz Pflasterwerk'!$I50,'Referenz Pflasterwerk'!$F50)*IF(NOT(ISBLANK('Eingabe EF'!$AE35)),'Eingabe EF'!$AE35,'Eingabe EF'!$AC35)*IF(NOT(ISBLANK('Referenz Pflasterwerk'!$I$12)),'Referenz Pflasterwerk'!$I$12,'Referenz Pflasterwerk'!$F$12)</f>
        <v>0</v>
      </c>
      <c r="H201" s="38">
        <f>IF(NOT(ISBLANK('Referenz Pflasterwerk'!$I50)),'Referenz Pflasterwerk'!$I50,'Referenz Pflasterwerk'!$F50)*IF(NOT(ISBLANK('Eingabe EF'!$AI35)),'Eingabe EF'!$AI35,'Eingabe EF'!$AG35)*IF(NOT(ISBLANK('Referenz Pflasterwerk'!$I$12)),'Referenz Pflasterwerk'!$I$12,'Referenz Pflasterwerk'!$F$12)</f>
        <v>0</v>
      </c>
      <c r="I201" s="17"/>
      <c r="J201" s="38">
        <f>F201+G201</f>
        <v>0</v>
      </c>
      <c r="K201" s="38">
        <f>SUM(F201:H201)</f>
        <v>0</v>
      </c>
      <c r="L201" s="17" t="s">
        <v>199</v>
      </c>
      <c r="M201" s="43"/>
      <c r="N201" s="43"/>
      <c r="O201" s="43"/>
      <c r="P201" s="43"/>
      <c r="Q201" s="43"/>
      <c r="R201" s="43"/>
      <c r="S201" s="43"/>
    </row>
    <row r="202" spans="2:20" ht="15.75" hidden="1" outlineLevel="1" x14ac:dyDescent="0.3">
      <c r="B202" s="302"/>
      <c r="C202" s="17"/>
      <c r="D202" s="17" t="s">
        <v>62</v>
      </c>
      <c r="E202" s="17"/>
      <c r="F202" s="38">
        <f>IF(NOT(ISBLANK('Referenz Pflasterwerk'!$I51)),'Referenz Pflasterwerk'!$I51,'Referenz Pflasterwerk'!$F51)*IF(NOT(ISBLANK('Eingabe EF'!$AA36)),'Eingabe EF'!$AA36,'Eingabe EF'!$Y36)*IF(NOT(ISBLANK('Referenz Pflasterwerk'!$I$12)),'Referenz Pflasterwerk'!$I$12,'Referenz Pflasterwerk'!$F$12)</f>
        <v>0</v>
      </c>
      <c r="G202" s="38">
        <f>IF(NOT(ISBLANK('Referenz Pflasterwerk'!$I51)),'Referenz Pflasterwerk'!$I51,'Referenz Pflasterwerk'!$F51)*IF(NOT(ISBLANK('Eingabe EF'!$AE36)),'Eingabe EF'!$AE36,'Eingabe EF'!$AC36)*IF(NOT(ISBLANK('Referenz Pflasterwerk'!$I$12)),'Referenz Pflasterwerk'!$I$12,'Referenz Pflasterwerk'!$F$12)</f>
        <v>0</v>
      </c>
      <c r="H202" s="38">
        <f>IF(NOT(ISBLANK('Referenz Pflasterwerk'!$I51)),'Referenz Pflasterwerk'!$I51,'Referenz Pflasterwerk'!$F51)*IF(NOT(ISBLANK('Eingabe EF'!$AI36)),'Eingabe EF'!$AI36,'Eingabe EF'!$AG36)*IF(NOT(ISBLANK('Referenz Pflasterwerk'!$I$12)),'Referenz Pflasterwerk'!$I$12,'Referenz Pflasterwerk'!$F$12)</f>
        <v>67.799999999999983</v>
      </c>
      <c r="I202" s="17"/>
      <c r="J202" s="38">
        <f>F202+G202</f>
        <v>0</v>
      </c>
      <c r="K202" s="38">
        <f>SUM(F202:H202)</f>
        <v>67.799999999999983</v>
      </c>
      <c r="L202" s="17" t="s">
        <v>199</v>
      </c>
      <c r="M202" s="43"/>
      <c r="N202" s="43"/>
      <c r="O202" s="43"/>
      <c r="P202" s="43"/>
      <c r="Q202" s="43"/>
      <c r="R202" s="43"/>
      <c r="S202" s="43"/>
    </row>
    <row r="203" spans="2:20" hidden="1" outlineLevel="1" x14ac:dyDescent="0.2">
      <c r="B203" s="17"/>
      <c r="C203" s="17"/>
      <c r="D203" s="17"/>
      <c r="E203" s="17"/>
      <c r="F203" s="20"/>
      <c r="G203" s="20"/>
      <c r="H203" s="20"/>
      <c r="I203" s="17"/>
      <c r="J203" s="17"/>
      <c r="K203" s="20"/>
      <c r="L203" s="20"/>
      <c r="M203" s="43"/>
      <c r="N203" s="43"/>
      <c r="O203" s="43"/>
      <c r="P203" s="43"/>
      <c r="Q203" s="43"/>
      <c r="R203" s="43"/>
      <c r="S203" s="43"/>
    </row>
    <row r="204" spans="2:20" ht="14.25" hidden="1" outlineLevel="1" x14ac:dyDescent="0.25">
      <c r="B204" s="69"/>
      <c r="C204" s="69" t="s">
        <v>52</v>
      </c>
      <c r="D204" s="70"/>
      <c r="E204" s="70"/>
      <c r="F204" s="71">
        <f>SUM(F205:F208)</f>
        <v>0</v>
      </c>
      <c r="G204" s="71">
        <f>SUM(G205:G208)</f>
        <v>0</v>
      </c>
      <c r="H204" s="71">
        <f>SUM(H205:H208)</f>
        <v>185.55932668689491</v>
      </c>
      <c r="I204" s="70"/>
      <c r="J204" s="71">
        <f t="shared" ref="J204:J208" si="31">F204+G204</f>
        <v>0</v>
      </c>
      <c r="K204" s="71">
        <f t="shared" ref="K204" si="32">SUM(F204:H204)</f>
        <v>185.55932668689491</v>
      </c>
      <c r="L204" s="76" t="s">
        <v>198</v>
      </c>
      <c r="M204" s="43"/>
      <c r="N204" s="43"/>
      <c r="O204" s="43"/>
      <c r="P204" s="43"/>
      <c r="Q204" s="43"/>
      <c r="R204" s="43"/>
      <c r="S204" s="43"/>
    </row>
    <row r="205" spans="2:20" ht="15.75" hidden="1" outlineLevel="1" x14ac:dyDescent="0.3">
      <c r="B205" s="17"/>
      <c r="C205" s="17"/>
      <c r="D205" s="17" t="s">
        <v>53</v>
      </c>
      <c r="E205" s="17"/>
      <c r="F205" s="38">
        <f>IF(NOT(ISBLANK('Referenz Pflasterwerk'!$I$53)),'Referenz Pflasterwerk'!$I$53,'Referenz Pflasterwerk'!$F$53)*IF(NOT(ISBLANK('Referenz Pflasterwerk'!$I54)),'Referenz Pflasterwerk'!$I54,'Referenz Pflasterwerk'!$F54)*IF(NOT(ISBLANK('Eingabe EF'!$AA39)),'Eingabe EF'!$AA39,'Eingabe EF'!$Y39)*IF(NOT(ISBLANK('Referenz Pflasterwerk'!$I$12)),'Referenz Pflasterwerk'!$I$12,'Referenz Pflasterwerk'!$F$12)</f>
        <v>0</v>
      </c>
      <c r="G205" s="38">
        <f>IF(NOT(ISBLANK('Referenz Pflasterwerk'!$I$53)),'Referenz Pflasterwerk'!$I$53,'Referenz Pflasterwerk'!$F$53)*IF(NOT(ISBLANK('Referenz Pflasterwerk'!$I54)),'Referenz Pflasterwerk'!$I54,'Referenz Pflasterwerk'!$F54)*IF(NOT(ISBLANK('Eingabe EF'!$AE39)),'Eingabe EF'!$AE39,'Eingabe EF'!$AC39)*IF(NOT(ISBLANK('Referenz Pflasterwerk'!$I$12)),'Referenz Pflasterwerk'!$I$12,'Referenz Pflasterwerk'!$F$12)</f>
        <v>0</v>
      </c>
      <c r="H205" s="38">
        <f>IF(NOT(ISBLANK('Referenz Pflasterwerk'!$I$53)),'Referenz Pflasterwerk'!$I$53,'Referenz Pflasterwerk'!$F$53)*IF(NOT(ISBLANK('Referenz Pflasterwerk'!$I54)),'Referenz Pflasterwerk'!$I54,'Referenz Pflasterwerk'!$F54)*IF(NOT(ISBLANK('Eingabe EF'!$AI39)),'Eingabe EF'!$AI39,'Eingabe EF'!$AG39)*IF(NOT(ISBLANK('Referenz Pflasterwerk'!$I$12)),'Referenz Pflasterwerk'!$I$12,'Referenz Pflasterwerk'!$F$12)</f>
        <v>59.997399219765924</v>
      </c>
      <c r="I205" s="17"/>
      <c r="J205" s="38">
        <f t="shared" si="31"/>
        <v>0</v>
      </c>
      <c r="K205" s="38">
        <f t="shared" ref="K205:K208" si="33">SUM(F205:H205)</f>
        <v>59.997399219765924</v>
      </c>
      <c r="L205" s="17" t="s">
        <v>199</v>
      </c>
      <c r="M205" s="43"/>
      <c r="N205" s="43"/>
      <c r="O205" s="43"/>
      <c r="P205" s="43"/>
      <c r="Q205" s="43"/>
      <c r="R205" s="43"/>
      <c r="S205" s="43"/>
    </row>
    <row r="206" spans="2:20" ht="15.75" hidden="1" outlineLevel="1" x14ac:dyDescent="0.3">
      <c r="B206" s="17"/>
      <c r="C206" s="17"/>
      <c r="D206" s="17" t="s">
        <v>55</v>
      </c>
      <c r="E206" s="17"/>
      <c r="F206" s="38">
        <f>IF(NOT(ISBLANK('Referenz Pflasterwerk'!$I$53)),'Referenz Pflasterwerk'!$I$53,'Referenz Pflasterwerk'!$F$53)*IF(NOT(ISBLANK('Referenz Pflasterwerk'!$I55)),'Referenz Pflasterwerk'!$I55,'Referenz Pflasterwerk'!$F55)*IF(NOT(ISBLANK('Eingabe EF'!$AA40)),'Eingabe EF'!$AA40,'Eingabe EF'!$Y40)*IF(NOT(ISBLANK('Referenz Pflasterwerk'!$I$12)),'Referenz Pflasterwerk'!$I$12,'Referenz Pflasterwerk'!$F$12)</f>
        <v>0</v>
      </c>
      <c r="G206" s="38">
        <f>IF(NOT(ISBLANK('Referenz Pflasterwerk'!$I$53)),'Referenz Pflasterwerk'!$I$53,'Referenz Pflasterwerk'!$F$53)*IF(NOT(ISBLANK('Referenz Pflasterwerk'!$I55)),'Referenz Pflasterwerk'!$I55,'Referenz Pflasterwerk'!$F55)*IF(NOT(ISBLANK('Eingabe EF'!$AE40)),'Eingabe EF'!$AE40,'Eingabe EF'!$AC40)*IF(NOT(ISBLANK('Referenz Pflasterwerk'!$I$12)),'Referenz Pflasterwerk'!$I$12,'Referenz Pflasterwerk'!$F$12)</f>
        <v>0</v>
      </c>
      <c r="H206" s="38">
        <f>IF(NOT(ISBLANK('Referenz Pflasterwerk'!$I$53)),'Referenz Pflasterwerk'!$I$53,'Referenz Pflasterwerk'!$F$53)*IF(NOT(ISBLANK('Referenz Pflasterwerk'!$I55)),'Referenz Pflasterwerk'!$I55,'Referenz Pflasterwerk'!$F55)*IF(NOT(ISBLANK('Eingabe EF'!$AI40)),'Eingabe EF'!$AI40,'Eingabe EF'!$AG40)*IF(NOT(ISBLANK('Referenz Pflasterwerk'!$I$12)),'Referenz Pflasterwerk'!$I$12,'Referenz Pflasterwerk'!$F$12)</f>
        <v>7.224692963444574</v>
      </c>
      <c r="I206" s="17"/>
      <c r="J206" s="38">
        <f t="shared" si="31"/>
        <v>0</v>
      </c>
      <c r="K206" s="38">
        <f t="shared" si="33"/>
        <v>7.224692963444574</v>
      </c>
      <c r="L206" s="17" t="s">
        <v>199</v>
      </c>
      <c r="M206" s="43"/>
      <c r="N206" s="43"/>
      <c r="O206" s="43"/>
      <c r="P206" s="43"/>
      <c r="Q206" s="43"/>
      <c r="R206" s="43"/>
      <c r="S206" s="43"/>
    </row>
    <row r="207" spans="2:20" ht="15.75" hidden="1" outlineLevel="1" x14ac:dyDescent="0.3">
      <c r="B207" s="17"/>
      <c r="C207" s="17"/>
      <c r="D207" s="17" t="s">
        <v>56</v>
      </c>
      <c r="E207" s="17"/>
      <c r="F207" s="38">
        <f>IF(NOT(ISBLANK('Referenz Pflasterwerk'!$I$53)),'Referenz Pflasterwerk'!$I$53,'Referenz Pflasterwerk'!$F$53)*IF(NOT(ISBLANK('Referenz Pflasterwerk'!$I56)),'Referenz Pflasterwerk'!$I56,'Referenz Pflasterwerk'!$F56)*IF(NOT(ISBLANK('Eingabe EF'!$AA41)),'Eingabe EF'!$AA41,'Eingabe EF'!$Y41)*IF(NOT(ISBLANK('Referenz Pflasterwerk'!$I$12)),'Referenz Pflasterwerk'!$I$12,'Referenz Pflasterwerk'!$F$12)</f>
        <v>0</v>
      </c>
      <c r="G207" s="38">
        <f>IF(NOT(ISBLANK('Referenz Pflasterwerk'!$I$53)),'Referenz Pflasterwerk'!$I$53,'Referenz Pflasterwerk'!$F$53)*IF(NOT(ISBLANK('Referenz Pflasterwerk'!$I56)),'Referenz Pflasterwerk'!$I56,'Referenz Pflasterwerk'!$F56)*IF(NOT(ISBLANK('Eingabe EF'!$AE41)),'Eingabe EF'!$AE41,'Eingabe EF'!$AC41)*IF(NOT(ISBLANK('Referenz Pflasterwerk'!$I$12)),'Referenz Pflasterwerk'!$I$12,'Referenz Pflasterwerk'!$F$12)</f>
        <v>0</v>
      </c>
      <c r="H207" s="38">
        <f>IF(NOT(ISBLANK('Referenz Pflasterwerk'!$I$53)),'Referenz Pflasterwerk'!$I$53,'Referenz Pflasterwerk'!$F$53)*IF(NOT(ISBLANK('Referenz Pflasterwerk'!$I56)),'Referenz Pflasterwerk'!$I56,'Referenz Pflasterwerk'!$F56)*IF(NOT(ISBLANK('Eingabe EF'!$AI41)),'Eingabe EF'!$AI41,'Eingabe EF'!$AG41)*IF(NOT(ISBLANK('Referenz Pflasterwerk'!$I$12)),'Referenz Pflasterwerk'!$I$12,'Referenz Pflasterwerk'!$F$12)</f>
        <v>1.7771998266146515E-2</v>
      </c>
      <c r="I207" s="17"/>
      <c r="J207" s="38">
        <f t="shared" si="31"/>
        <v>0</v>
      </c>
      <c r="K207" s="38">
        <f t="shared" si="33"/>
        <v>1.7771998266146515E-2</v>
      </c>
      <c r="L207" s="17" t="s">
        <v>199</v>
      </c>
      <c r="M207" s="43"/>
      <c r="N207" s="43"/>
      <c r="O207" s="43"/>
      <c r="P207" s="43"/>
      <c r="Q207" s="43"/>
      <c r="R207" s="43"/>
      <c r="S207" s="43"/>
    </row>
    <row r="208" spans="2:20" ht="15.75" hidden="1" outlineLevel="1" x14ac:dyDescent="0.3">
      <c r="B208" s="17"/>
      <c r="C208" s="17"/>
      <c r="D208" s="17" t="s">
        <v>57</v>
      </c>
      <c r="E208" s="17"/>
      <c r="F208" s="38">
        <f>IF(NOT(ISBLANK('Referenz Pflasterwerk'!$I$53)),'Referenz Pflasterwerk'!$I$53,'Referenz Pflasterwerk'!$F$53)*IF(NOT(ISBLANK('Referenz Pflasterwerk'!$I57)),'Referenz Pflasterwerk'!$I57,'Referenz Pflasterwerk'!$F57)*IF(NOT(ISBLANK('Eingabe EF'!$AA42)),'Eingabe EF'!$AA42,'Eingabe EF'!$Y42)*IF(NOT(ISBLANK('Referenz Pflasterwerk'!$I$12)),'Referenz Pflasterwerk'!$I$12,'Referenz Pflasterwerk'!$F$12)</f>
        <v>0</v>
      </c>
      <c r="G208" s="38">
        <f>IF(NOT(ISBLANK('Referenz Pflasterwerk'!$I$53)),'Referenz Pflasterwerk'!$I$53,'Referenz Pflasterwerk'!$F$53)*IF(NOT(ISBLANK('Referenz Pflasterwerk'!$I57)),'Referenz Pflasterwerk'!$I57,'Referenz Pflasterwerk'!$F57)*IF(NOT(ISBLANK('Eingabe EF'!$AE42)),'Eingabe EF'!$AE42,'Eingabe EF'!$AC42)*IF(NOT(ISBLANK('Referenz Pflasterwerk'!$I$12)),'Referenz Pflasterwerk'!$I$12,'Referenz Pflasterwerk'!$F$12)</f>
        <v>0</v>
      </c>
      <c r="H208" s="38">
        <f>IF(NOT(ISBLANK('Referenz Pflasterwerk'!$I$53)),'Referenz Pflasterwerk'!$I$53,'Referenz Pflasterwerk'!$F$53)*IF(NOT(ISBLANK('Referenz Pflasterwerk'!$I57)),'Referenz Pflasterwerk'!$I57,'Referenz Pflasterwerk'!$F57)*IF(NOT(ISBLANK('Eingabe EF'!$AI42)),'Eingabe EF'!$AI42,'Eingabe EF'!$AG42)*IF(NOT(ISBLANK('Referenz Pflasterwerk'!$I$12)),'Referenz Pflasterwerk'!$I$12,'Referenz Pflasterwerk'!$F$12)</f>
        <v>118.31946250541829</v>
      </c>
      <c r="I208" s="17"/>
      <c r="J208" s="38">
        <f t="shared" si="31"/>
        <v>0</v>
      </c>
      <c r="K208" s="38">
        <f t="shared" si="33"/>
        <v>118.31946250541829</v>
      </c>
      <c r="L208" s="17" t="s">
        <v>199</v>
      </c>
      <c r="M208" s="43"/>
      <c r="N208" s="43"/>
      <c r="O208" s="43"/>
      <c r="P208" s="43"/>
      <c r="Q208" s="43"/>
      <c r="R208" s="43"/>
      <c r="S208" s="43"/>
    </row>
    <row r="209" spans="2:19" hidden="1" outlineLevel="1" x14ac:dyDescent="0.2">
      <c r="B209" s="17"/>
      <c r="C209" s="17"/>
      <c r="D209" s="17"/>
      <c r="E209" s="17"/>
      <c r="F209" s="20"/>
      <c r="G209" s="20"/>
      <c r="H209" s="20"/>
      <c r="I209" s="17"/>
      <c r="J209" s="20"/>
      <c r="K209" s="20"/>
      <c r="L209" s="17"/>
      <c r="M209" s="43"/>
      <c r="N209" s="43"/>
      <c r="O209" s="43"/>
      <c r="P209" s="43"/>
      <c r="Q209" s="43"/>
      <c r="R209" s="43"/>
      <c r="S209" s="43"/>
    </row>
    <row r="210" spans="2:19" ht="14.25" hidden="1" outlineLevel="1" x14ac:dyDescent="0.25">
      <c r="B210" s="69"/>
      <c r="C210" s="69" t="s">
        <v>338</v>
      </c>
      <c r="D210" s="70"/>
      <c r="E210" s="70"/>
      <c r="F210" s="71">
        <f>SUM(F211:F213)</f>
        <v>0</v>
      </c>
      <c r="G210" s="71">
        <f>SUM(G211:G213)</f>
        <v>0</v>
      </c>
      <c r="H210" s="71">
        <f>SUM(H211:H213)</f>
        <v>0</v>
      </c>
      <c r="I210" s="70"/>
      <c r="J210" s="71">
        <f>F210+G210</f>
        <v>0</v>
      </c>
      <c r="K210" s="71">
        <f t="shared" ref="K210" si="34">SUM(F210:H210)</f>
        <v>0</v>
      </c>
      <c r="L210" s="76" t="s">
        <v>198</v>
      </c>
      <c r="M210" s="43"/>
      <c r="N210" s="43"/>
      <c r="O210" s="43"/>
      <c r="P210" s="43"/>
      <c r="Q210" s="43"/>
      <c r="R210" s="43"/>
      <c r="S210" s="43"/>
    </row>
    <row r="211" spans="2:19" ht="15.75" hidden="1" outlineLevel="1" x14ac:dyDescent="0.3">
      <c r="B211" s="302"/>
      <c r="C211" s="17"/>
      <c r="D211" s="17" t="s">
        <v>268</v>
      </c>
      <c r="E211" s="17"/>
      <c r="F211" s="38">
        <v>0</v>
      </c>
      <c r="G211" s="38">
        <v>0</v>
      </c>
      <c r="H211" s="38">
        <f>IF(NOT(ISBLANK(G22)),G22,E22)*IF(NOT(ISBLANK(G26)),G26,0)</f>
        <v>0</v>
      </c>
      <c r="I211" s="17"/>
      <c r="J211" s="38">
        <f t="shared" ref="J211:J212" si="35">F211+G211</f>
        <v>0</v>
      </c>
      <c r="K211" s="38">
        <f t="shared" ref="K211:K212" si="36">SUM(F211:H211)</f>
        <v>0</v>
      </c>
      <c r="L211" s="17" t="s">
        <v>199</v>
      </c>
      <c r="M211" s="43"/>
      <c r="N211" s="43"/>
      <c r="O211" s="43"/>
      <c r="P211" s="43"/>
      <c r="Q211" s="43"/>
      <c r="R211" s="43"/>
      <c r="S211" s="43"/>
    </row>
    <row r="212" spans="2:19" ht="15.75" hidden="1" outlineLevel="1" x14ac:dyDescent="0.3">
      <c r="B212" s="302"/>
      <c r="C212" s="17"/>
      <c r="D212" s="17" t="s">
        <v>269</v>
      </c>
      <c r="E212" s="17"/>
      <c r="F212" s="38">
        <v>0</v>
      </c>
      <c r="G212" s="38">
        <v>0</v>
      </c>
      <c r="H212" s="38">
        <f>IF(NOT(ISBLANK(G23)),G23,E23)*IF(NOT(ISBLANK(G27)),G27,0)</f>
        <v>0</v>
      </c>
      <c r="I212" s="17"/>
      <c r="J212" s="38">
        <f t="shared" si="35"/>
        <v>0</v>
      </c>
      <c r="K212" s="38">
        <f t="shared" si="36"/>
        <v>0</v>
      </c>
      <c r="L212" s="17" t="s">
        <v>199</v>
      </c>
      <c r="M212" s="43"/>
      <c r="N212" s="43"/>
      <c r="O212" s="43"/>
      <c r="P212" s="43"/>
      <c r="Q212" s="43"/>
      <c r="R212" s="43"/>
      <c r="S212" s="43"/>
    </row>
    <row r="213" spans="2:19" ht="15.75" hidden="1" outlineLevel="1" x14ac:dyDescent="0.3">
      <c r="B213" s="302"/>
      <c r="C213" s="17"/>
      <c r="D213" s="17" t="s">
        <v>339</v>
      </c>
      <c r="E213" s="17"/>
      <c r="F213" s="38">
        <v>0</v>
      </c>
      <c r="G213" s="38">
        <v>0</v>
      </c>
      <c r="H213" s="38">
        <f>E161*IF(NOT(ISBLANK(G28)),G28,E28)</f>
        <v>0</v>
      </c>
      <c r="I213" s="17"/>
      <c r="J213" s="38">
        <f t="shared" ref="J213" si="37">F213+G213</f>
        <v>0</v>
      </c>
      <c r="K213" s="38">
        <f t="shared" ref="K213" si="38">SUM(F213:H213)</f>
        <v>0</v>
      </c>
      <c r="L213" s="17" t="s">
        <v>199</v>
      </c>
      <c r="M213" s="43"/>
      <c r="N213" s="43"/>
      <c r="O213" s="43"/>
      <c r="P213" s="43"/>
      <c r="Q213" s="43"/>
      <c r="R213" s="43"/>
      <c r="S213" s="43"/>
    </row>
    <row r="214" spans="2:19" hidden="1" outlineLevel="1" x14ac:dyDescent="0.2">
      <c r="B214" s="17"/>
      <c r="C214" s="17"/>
      <c r="D214" s="17"/>
      <c r="E214" s="17"/>
      <c r="F214" s="20"/>
      <c r="G214" s="20"/>
      <c r="H214" s="20"/>
      <c r="I214" s="17"/>
      <c r="J214" s="20"/>
      <c r="K214" s="20"/>
      <c r="L214" s="17"/>
      <c r="M214" s="43"/>
      <c r="N214" s="43"/>
      <c r="O214" s="43"/>
      <c r="P214" s="43"/>
      <c r="Q214" s="43"/>
      <c r="R214" s="43"/>
      <c r="S214" s="43"/>
    </row>
    <row r="215" spans="2:19" ht="14.25" hidden="1" outlineLevel="1" x14ac:dyDescent="0.25">
      <c r="B215" s="17"/>
      <c r="C215" s="17"/>
      <c r="D215" s="21" t="s">
        <v>113</v>
      </c>
      <c r="E215" s="21"/>
      <c r="F215" s="74">
        <f>IF(NOT(ISBLANK('Referenz Pflasterwerk'!$I59)),'Referenz Pflasterwerk'!$I59,'Referenz Pflasterwerk'!$F59)*IF(NOT(ISBLANK('Eingabe EF'!$AA44)),'Eingabe EF'!$AA44,0)*IF(NOT(ISBLANK('Referenz Pflasterwerk'!$I$12)),'Referenz Pflasterwerk'!$I$12,'Referenz Pflasterwerk'!$F$12)</f>
        <v>0</v>
      </c>
      <c r="G215" s="74">
        <f>IF(NOT(ISBLANK('Referenz Pflasterwerk'!$I59)),'Referenz Pflasterwerk'!$I59,'Referenz Pflasterwerk'!$F59)*IF(NOT(ISBLANK('Eingabe EF'!$AE44)),'Eingabe EF'!$AE44,0)*IF(NOT(ISBLANK('Referenz Pflasterwerk'!$I$12)),'Referenz Pflasterwerk'!$I$12,'Referenz Pflasterwerk'!$F$12)</f>
        <v>0</v>
      </c>
      <c r="H215" s="74">
        <f>IF(NOT(ISBLANK('Referenz Pflasterwerk'!$I59)),'Referenz Pflasterwerk'!$I59,'Referenz Pflasterwerk'!$F59)*IF(NOT(ISBLANK('Eingabe EF'!$AI44)),'Eingabe EF'!$AI44,0)*IF(NOT(ISBLANK('Referenz Pflasterwerk'!$I$12)),'Referenz Pflasterwerk'!$I$12,'Referenz Pflasterwerk'!$F$12)</f>
        <v>0</v>
      </c>
      <c r="I215" s="21"/>
      <c r="J215" s="74">
        <f>F215+G215</f>
        <v>0</v>
      </c>
      <c r="K215" s="74">
        <f>SUM(F215:H215)</f>
        <v>0</v>
      </c>
      <c r="L215" s="21" t="s">
        <v>198</v>
      </c>
      <c r="M215" s="43"/>
      <c r="N215" s="43"/>
      <c r="O215" s="43"/>
      <c r="P215" s="43"/>
      <c r="Q215" s="43"/>
      <c r="R215" s="43"/>
      <c r="S215" s="43"/>
    </row>
    <row r="216" spans="2:19" ht="14.25" hidden="1" outlineLevel="1" x14ac:dyDescent="0.25">
      <c r="B216" s="17"/>
      <c r="C216" s="17"/>
      <c r="D216" s="21" t="s">
        <v>65</v>
      </c>
      <c r="E216" s="21"/>
      <c r="F216" s="74">
        <f>IF(NOT(ISBLANK('Referenz Pflasterwerk'!$I60)),'Referenz Pflasterwerk'!$I60,'Referenz Pflasterwerk'!$F60)*IF(NOT(ISBLANK('Eingabe EF'!$AA45)),'Eingabe EF'!$AA45,'Eingabe EF'!$Y45)</f>
        <v>0</v>
      </c>
      <c r="G216" s="74">
        <f>IF(NOT(ISBLANK('Referenz Pflasterwerk'!$I60)),'Referenz Pflasterwerk'!$I60,'Referenz Pflasterwerk'!$F60)*IF(NOT(ISBLANK('Eingabe EF'!$AE45)),'Eingabe EF'!$AE45,'Eingabe EF'!$AC45)</f>
        <v>0</v>
      </c>
      <c r="H216" s="74">
        <f>IF(NOT(ISBLANK('Referenz Pflasterwerk'!$I60)),'Referenz Pflasterwerk'!$I60,'Referenz Pflasterwerk'!$F60)*IF(NOT(ISBLANK('Eingabe EF'!$AI45)),'Eingabe EF'!$AI45,'Eingabe EF'!$AG45)</f>
        <v>5.4399999999999997E-2</v>
      </c>
      <c r="I216" s="21"/>
      <c r="J216" s="74">
        <f>F216+G216</f>
        <v>0</v>
      </c>
      <c r="K216" s="74">
        <f>SUM(F216:H216)</f>
        <v>5.4399999999999997E-2</v>
      </c>
      <c r="L216" s="21" t="s">
        <v>198</v>
      </c>
      <c r="M216" s="43"/>
      <c r="N216" s="43"/>
      <c r="O216" s="43"/>
      <c r="P216" s="43"/>
      <c r="Q216" s="43"/>
      <c r="R216" s="43"/>
      <c r="S216" s="43"/>
    </row>
    <row r="217" spans="2:19" hidden="1" outlineLevel="1" x14ac:dyDescent="0.2">
      <c r="B217" s="17"/>
      <c r="C217" s="17"/>
      <c r="D217" s="17"/>
      <c r="E217" s="17"/>
      <c r="F217" s="20"/>
      <c r="G217" s="20"/>
      <c r="H217" s="20"/>
      <c r="I217" s="17"/>
      <c r="J217" s="20"/>
      <c r="K217" s="20"/>
      <c r="L217" s="17"/>
      <c r="M217" s="43"/>
      <c r="N217" s="43"/>
      <c r="O217" s="43"/>
      <c r="P217" s="43"/>
      <c r="Q217" s="43"/>
      <c r="R217" s="43"/>
      <c r="S217" s="43"/>
    </row>
    <row r="218" spans="2:19" ht="14.25" hidden="1" outlineLevel="1" x14ac:dyDescent="0.25">
      <c r="B218" s="69"/>
      <c r="C218" s="69" t="s">
        <v>183</v>
      </c>
      <c r="D218" s="70"/>
      <c r="E218" s="70"/>
      <c r="F218" s="71">
        <f>SUM(F219:F221)</f>
        <v>0</v>
      </c>
      <c r="G218" s="71">
        <f>SUM(G219:G221)</f>
        <v>0</v>
      </c>
      <c r="H218" s="71">
        <f>SUM(H219:H221)</f>
        <v>0</v>
      </c>
      <c r="I218" s="70"/>
      <c r="J218" s="71">
        <f t="shared" ref="J218:J221" si="39">F218+G218</f>
        <v>0</v>
      </c>
      <c r="K218" s="71">
        <f t="shared" ref="K218" si="40">SUM(F218:H218)</f>
        <v>0</v>
      </c>
      <c r="L218" s="76" t="s">
        <v>198</v>
      </c>
      <c r="M218" s="43"/>
      <c r="N218" s="43"/>
      <c r="O218" s="43"/>
      <c r="P218" s="43"/>
      <c r="Q218" s="43"/>
      <c r="R218" s="43"/>
      <c r="S218" s="43"/>
    </row>
    <row r="219" spans="2:19" ht="15.75" hidden="1" outlineLevel="1" x14ac:dyDescent="0.3">
      <c r="B219" s="17"/>
      <c r="C219" s="17"/>
      <c r="D219" s="17" t="s">
        <v>184</v>
      </c>
      <c r="E219" s="17"/>
      <c r="F219" s="38">
        <f>IF(NOT(ISBLANK('Referenz Pflasterwerk'!$I63)),'Referenz Pflasterwerk'!$I63,'Referenz Pflasterwerk'!$F63)*IF(NOT(ISBLANK('Eingabe EF'!$AA48)),'Eingabe EF'!$AA48,0)*IF(NOT(ISBLANK('Referenz Pflasterwerk'!$I$12)),'Referenz Pflasterwerk'!$I$12,'Referenz Pflasterwerk'!$F$12)</f>
        <v>0</v>
      </c>
      <c r="G219" s="38">
        <f>IF(NOT(ISBLANK('Referenz Pflasterwerk'!$I63)),'Referenz Pflasterwerk'!$I63,'Referenz Pflasterwerk'!$F63)*IF(NOT(ISBLANK('Eingabe EF'!$AE48)),'Eingabe EF'!$AE48,0)*IF(NOT(ISBLANK('Referenz Pflasterwerk'!$I$12)),'Referenz Pflasterwerk'!$I$12,'Referenz Pflasterwerk'!$F$12)</f>
        <v>0</v>
      </c>
      <c r="H219" s="38">
        <f>IF(NOT(ISBLANK('Referenz Pflasterwerk'!$I63)),'Referenz Pflasterwerk'!$I63,'Referenz Pflasterwerk'!$F63)*IF(NOT(ISBLANK('Eingabe EF'!$AI48)),'Eingabe EF'!$AI48,0)*IF(NOT(ISBLANK('Referenz Pflasterwerk'!$I$12)),'Referenz Pflasterwerk'!$I$12,'Referenz Pflasterwerk'!$F$12)</f>
        <v>0</v>
      </c>
      <c r="I219" s="17"/>
      <c r="J219" s="38">
        <f t="shared" si="39"/>
        <v>0</v>
      </c>
      <c r="K219" s="38">
        <f t="shared" ref="K219:K221" si="41">SUM(F219:H219)</f>
        <v>0</v>
      </c>
      <c r="L219" s="17" t="s">
        <v>199</v>
      </c>
      <c r="M219" s="43"/>
      <c r="N219" s="43"/>
      <c r="O219" s="43"/>
      <c r="P219" s="43"/>
      <c r="Q219" s="43"/>
      <c r="R219" s="43"/>
      <c r="S219" s="43"/>
    </row>
    <row r="220" spans="2:19" ht="15.75" hidden="1" outlineLevel="1" x14ac:dyDescent="0.3">
      <c r="B220" s="17"/>
      <c r="C220" s="17"/>
      <c r="D220" s="17" t="s">
        <v>63</v>
      </c>
      <c r="E220" s="17"/>
      <c r="F220" s="38">
        <f>IF(NOT(ISBLANK('Referenz Pflasterwerk'!$I64)),'Referenz Pflasterwerk'!$I64,'Referenz Pflasterwerk'!$F64)*IF(NOT(ISBLANK('Eingabe EF'!$AA49)),'Eingabe EF'!$AA49,'Eingabe EF'!$Y49)*IF(NOT(ISBLANK('Referenz Pflasterwerk'!$I$12)),'Referenz Pflasterwerk'!$I$12,'Referenz Pflasterwerk'!$F$12)</f>
        <v>0</v>
      </c>
      <c r="G220" s="38">
        <f>IF(NOT(ISBLANK('Referenz Pflasterwerk'!$I64)),'Referenz Pflasterwerk'!$I64,'Referenz Pflasterwerk'!$F64)*IF(NOT(ISBLANK('Eingabe EF'!$AE49)),'Eingabe EF'!$AE49,'Eingabe EF'!$AC49)*IF(NOT(ISBLANK('Referenz Pflasterwerk'!$I$12)),'Referenz Pflasterwerk'!$I$12,'Referenz Pflasterwerk'!$F$12)</f>
        <v>0</v>
      </c>
      <c r="H220" s="38">
        <f>IF(NOT(ISBLANK('Referenz Pflasterwerk'!$I64)),'Referenz Pflasterwerk'!$I64,'Referenz Pflasterwerk'!$F64)*IF(NOT(ISBLANK('Eingabe EF'!$AI49)),'Eingabe EF'!$AI49,'Eingabe EF'!$AG49)*IF(NOT(ISBLANK('Referenz Pflasterwerk'!$I$12)),'Referenz Pflasterwerk'!$I$12,'Referenz Pflasterwerk'!$F$12)</f>
        <v>0</v>
      </c>
      <c r="I220" s="17"/>
      <c r="J220" s="38">
        <f t="shared" si="39"/>
        <v>0</v>
      </c>
      <c r="K220" s="38">
        <f t="shared" si="41"/>
        <v>0</v>
      </c>
      <c r="L220" s="17" t="s">
        <v>199</v>
      </c>
      <c r="M220" s="43"/>
      <c r="N220" s="43"/>
      <c r="O220" s="43"/>
      <c r="P220" s="43"/>
      <c r="Q220" s="43"/>
      <c r="R220" s="43"/>
      <c r="S220" s="43"/>
    </row>
    <row r="221" spans="2:19" ht="15.75" hidden="1" outlineLevel="1" x14ac:dyDescent="0.3">
      <c r="B221" s="17"/>
      <c r="C221" s="17"/>
      <c r="D221" s="17" t="s">
        <v>185</v>
      </c>
      <c r="E221" s="17"/>
      <c r="F221" s="38">
        <f>IF(NOT(ISBLANK('Referenz Pflasterwerk'!$I65)),'Referenz Pflasterwerk'!$I65,'Referenz Pflasterwerk'!$F65)*IF(NOT(ISBLANK('Eingabe EF'!$AA50)),'Eingabe EF'!$AA50,0)*IF(NOT(ISBLANK('Referenz Pflasterwerk'!$I$12)),'Referenz Pflasterwerk'!$I$12,'Referenz Pflasterwerk'!$F$12)</f>
        <v>0</v>
      </c>
      <c r="G221" s="38">
        <f>IF(NOT(ISBLANK('Referenz Pflasterwerk'!$I65)),'Referenz Pflasterwerk'!$I65,'Referenz Pflasterwerk'!$F65)*IF(NOT(ISBLANK('Eingabe EF'!$AE50)),'Eingabe EF'!$AE50,0)*IF(NOT(ISBLANK('Referenz Pflasterwerk'!$I$12)),'Referenz Pflasterwerk'!$I$12,'Referenz Pflasterwerk'!$F$12)</f>
        <v>0</v>
      </c>
      <c r="H221" s="38">
        <f>IF(NOT(ISBLANK('Referenz Pflasterwerk'!$I65)),'Referenz Pflasterwerk'!$I65,'Referenz Pflasterwerk'!$F65)*IF(NOT(ISBLANK('Eingabe EF'!$AI50)),'Eingabe EF'!$AI50,0)*IF(NOT(ISBLANK('Referenz Pflasterwerk'!$I$12)),'Referenz Pflasterwerk'!$I$12,'Referenz Pflasterwerk'!$F$12)</f>
        <v>0</v>
      </c>
      <c r="I221" s="17"/>
      <c r="J221" s="38">
        <f t="shared" si="39"/>
        <v>0</v>
      </c>
      <c r="K221" s="38">
        <f t="shared" si="41"/>
        <v>0</v>
      </c>
      <c r="L221" s="17" t="s">
        <v>199</v>
      </c>
      <c r="M221" s="43"/>
      <c r="N221" s="43"/>
      <c r="O221" s="43"/>
      <c r="P221" s="43"/>
      <c r="Q221" s="43"/>
      <c r="R221" s="43"/>
      <c r="S221" s="43"/>
    </row>
    <row r="222" spans="2:19" hidden="1" outlineLevel="1" x14ac:dyDescent="0.2">
      <c r="B222" s="17"/>
      <c r="C222" s="17"/>
      <c r="D222" s="17"/>
      <c r="E222" s="17"/>
      <c r="F222" s="20"/>
      <c r="G222" s="20"/>
      <c r="H222" s="20"/>
      <c r="I222" s="17"/>
      <c r="J222" s="17"/>
      <c r="K222" s="17"/>
      <c r="L222" s="20"/>
      <c r="M222" s="43"/>
      <c r="N222" s="43"/>
      <c r="O222" s="43"/>
      <c r="P222" s="43"/>
      <c r="Q222" s="43"/>
      <c r="R222" s="43"/>
      <c r="S222" s="43"/>
    </row>
    <row r="223" spans="2:19" ht="14.25" hidden="1" outlineLevel="1" x14ac:dyDescent="0.25">
      <c r="B223" s="69"/>
      <c r="C223" s="69" t="s">
        <v>186</v>
      </c>
      <c r="D223" s="70"/>
      <c r="E223" s="70"/>
      <c r="F223" s="71">
        <f>SUM(F224:F226)</f>
        <v>0</v>
      </c>
      <c r="G223" s="71">
        <f>SUM(G224:G226)</f>
        <v>0</v>
      </c>
      <c r="H223" s="71">
        <f>SUM(H224:H226)</f>
        <v>0</v>
      </c>
      <c r="I223" s="70"/>
      <c r="J223" s="71">
        <f>F223+G223</f>
        <v>0</v>
      </c>
      <c r="K223" s="71">
        <f t="shared" ref="K223" si="42">SUM(F223:H223)</f>
        <v>0</v>
      </c>
      <c r="L223" s="76" t="s">
        <v>198</v>
      </c>
      <c r="M223" s="43"/>
      <c r="N223" s="43"/>
      <c r="O223" s="43"/>
      <c r="P223" s="43"/>
      <c r="Q223" s="43"/>
      <c r="R223" s="43"/>
      <c r="S223" s="43"/>
    </row>
    <row r="224" spans="2:19" ht="15.75" hidden="1" outlineLevel="1" x14ac:dyDescent="0.3">
      <c r="B224" s="17"/>
      <c r="C224" s="17"/>
      <c r="D224" s="17" t="s">
        <v>67</v>
      </c>
      <c r="E224" s="17"/>
      <c r="F224" s="38">
        <f>IF(NOT(ISBLANK('Referenz Pflasterwerk'!$I68)),'Referenz Pflasterwerk'!$I68,'Referenz Pflasterwerk'!$F68)*IF(NOT(ISBLANK('Eingabe EF'!$AA53)),'Eingabe EF'!$AA53,'Eingabe EF'!$Y53)</f>
        <v>0</v>
      </c>
      <c r="G224" s="38">
        <f>IF(NOT(ISBLANK('Referenz Pflasterwerk'!$I68)),'Referenz Pflasterwerk'!$I68,'Referenz Pflasterwerk'!$F68)*IF(NOT(ISBLANK('Eingabe EF'!$AE53)),'Eingabe EF'!$AE53,'Eingabe EF'!$AC53)</f>
        <v>0</v>
      </c>
      <c r="H224" s="38">
        <f>IF(NOT(ISBLANK('Referenz Pflasterwerk'!$I68)),'Referenz Pflasterwerk'!$I68,'Referenz Pflasterwerk'!$F68)*IF(NOT(ISBLANK('Eingabe EF'!$AI53)),'Eingabe EF'!$AI53,'Eingabe EF'!$AG53)</f>
        <v>0</v>
      </c>
      <c r="I224" s="17"/>
      <c r="J224" s="38">
        <f>F224+G224</f>
        <v>0</v>
      </c>
      <c r="K224" s="38">
        <f>SUM(F224:H224)</f>
        <v>0</v>
      </c>
      <c r="L224" s="17" t="s">
        <v>199</v>
      </c>
      <c r="M224" s="43"/>
      <c r="N224" s="43"/>
      <c r="O224" s="43"/>
      <c r="P224" s="43"/>
      <c r="Q224" s="43"/>
      <c r="R224" s="43"/>
      <c r="S224" s="43"/>
    </row>
    <row r="225" spans="2:20" ht="15.75" hidden="1" outlineLevel="1" x14ac:dyDescent="0.3">
      <c r="B225" s="17"/>
      <c r="C225" s="17"/>
      <c r="D225" s="17" t="s">
        <v>188</v>
      </c>
      <c r="E225" s="17"/>
      <c r="F225" s="38">
        <f>IF(NOT(ISBLANK('Referenz Pflasterwerk'!$I69)),'Referenz Pflasterwerk'!$I69,'Referenz Pflasterwerk'!$F69)*IF(NOT(ISBLANK('Eingabe EF'!$AA54)),'Eingabe EF'!$AA54,0)</f>
        <v>0</v>
      </c>
      <c r="G225" s="38">
        <f>IF(NOT(ISBLANK('Referenz Pflasterwerk'!$I69)),'Referenz Pflasterwerk'!$I69,'Referenz Pflasterwerk'!$F69)*IF(NOT(ISBLANK('Eingabe EF'!$AE54)),'Eingabe EF'!$AE54,0)</f>
        <v>0</v>
      </c>
      <c r="H225" s="38">
        <f>IF(NOT(ISBLANK('Referenz Pflasterwerk'!$I69)),'Referenz Pflasterwerk'!$I69,'Referenz Pflasterwerk'!$F69)*IF(NOT(ISBLANK('Eingabe EF'!$AI54)),'Eingabe EF'!$AI54,0)</f>
        <v>0</v>
      </c>
      <c r="I225" s="17"/>
      <c r="J225" s="38">
        <f t="shared" ref="J225:J226" si="43">F225+G225</f>
        <v>0</v>
      </c>
      <c r="K225" s="38">
        <f t="shared" ref="K225:K226" si="44">SUM(F225:H225)</f>
        <v>0</v>
      </c>
      <c r="L225" s="17" t="s">
        <v>199</v>
      </c>
      <c r="M225" s="43"/>
      <c r="N225" s="43"/>
      <c r="O225" s="43"/>
      <c r="P225" s="43"/>
      <c r="Q225" s="43"/>
      <c r="R225" s="43"/>
      <c r="S225" s="43"/>
    </row>
    <row r="226" spans="2:20" ht="15.75" hidden="1" outlineLevel="1" x14ac:dyDescent="0.3">
      <c r="B226" s="17"/>
      <c r="C226" s="17"/>
      <c r="D226" s="17" t="s">
        <v>187</v>
      </c>
      <c r="E226" s="17"/>
      <c r="F226" s="38">
        <f>IF(NOT(ISBLANK('Referenz Pflasterwerk'!$I70)),'Referenz Pflasterwerk'!$I70,'Referenz Pflasterwerk'!$F70)*IF(NOT(ISBLANK('Eingabe EF'!$AA55)),'Eingabe EF'!$AA55,0)</f>
        <v>0</v>
      </c>
      <c r="G226" s="38">
        <f>IF(NOT(ISBLANK('Referenz Pflasterwerk'!$I70)),'Referenz Pflasterwerk'!$I70,'Referenz Pflasterwerk'!$F70)*IF(NOT(ISBLANK('Eingabe EF'!$AE55)),'Eingabe EF'!$AE55,0)</f>
        <v>0</v>
      </c>
      <c r="H226" s="38">
        <f>IF(NOT(ISBLANK('Referenz Pflasterwerk'!$I70)),'Referenz Pflasterwerk'!$I70,'Referenz Pflasterwerk'!$F70)*IF(NOT(ISBLANK('Eingabe EF'!$AI55)),'Eingabe EF'!$AI55,0)</f>
        <v>0</v>
      </c>
      <c r="I226" s="17"/>
      <c r="J226" s="38">
        <f t="shared" si="43"/>
        <v>0</v>
      </c>
      <c r="K226" s="38">
        <f t="shared" si="44"/>
        <v>0</v>
      </c>
      <c r="L226" s="17" t="s">
        <v>199</v>
      </c>
      <c r="M226" s="43"/>
      <c r="N226" s="43"/>
      <c r="O226" s="43"/>
      <c r="P226" s="43"/>
      <c r="Q226" s="43"/>
      <c r="R226" s="43"/>
      <c r="S226" s="43"/>
    </row>
    <row r="227" spans="2:20" hidden="1" outlineLevel="1" x14ac:dyDescent="0.2">
      <c r="B227" s="17"/>
      <c r="C227" s="17"/>
      <c r="D227" s="17"/>
      <c r="E227" s="17"/>
      <c r="F227" s="20"/>
      <c r="G227" s="20"/>
      <c r="H227" s="20"/>
      <c r="I227" s="17"/>
      <c r="J227" s="17"/>
      <c r="K227" s="17"/>
      <c r="L227" s="20"/>
      <c r="M227" s="43"/>
      <c r="N227" s="43"/>
      <c r="O227" s="43"/>
      <c r="P227" s="43"/>
      <c r="Q227" s="43"/>
      <c r="R227" s="43"/>
      <c r="S227" s="43"/>
    </row>
    <row r="228" spans="2:20" ht="14.25" hidden="1" outlineLevel="1" x14ac:dyDescent="0.25">
      <c r="B228" s="17"/>
      <c r="C228" s="17"/>
      <c r="D228" s="21" t="s">
        <v>64</v>
      </c>
      <c r="E228" s="21"/>
      <c r="F228" s="74">
        <f>IF(NOT(ISBLANK('Referenz Pflasterwerk'!$I72)),'Referenz Pflasterwerk'!$I72,'Referenz Pflasterwerk'!$F72)*IF(NOT(ISBLANK('Eingabe EF'!$AA57)),'Eingabe EF'!$AA57,'Eingabe EF'!$Y57)</f>
        <v>0</v>
      </c>
      <c r="G228" s="74">
        <f>IF(NOT(ISBLANK('Referenz Pflasterwerk'!$I72)),'Referenz Pflasterwerk'!$I72,'Referenz Pflasterwerk'!$F72)*IF(NOT(ISBLANK('Eingabe EF'!$AE57)),'Eingabe EF'!$AE57,'Eingabe EF'!$AC57)</f>
        <v>0</v>
      </c>
      <c r="H228" s="74">
        <f>IF(NOT(ISBLANK('Referenz Pflasterwerk'!$I72)),'Referenz Pflasterwerk'!$I72,'Referenz Pflasterwerk'!$F72)*IF(NOT(ISBLANK('Eingabe EF'!$AI57)),'Eingabe EF'!$AI57,'Eingabe EF'!$AG57)</f>
        <v>161.20000000000002</v>
      </c>
      <c r="I228" s="21"/>
      <c r="J228" s="74">
        <f t="shared" ref="J228" si="45">F228+G228</f>
        <v>0</v>
      </c>
      <c r="K228" s="74">
        <f t="shared" ref="K228" si="46">SUM(F228:H228)</f>
        <v>161.20000000000002</v>
      </c>
      <c r="L228" s="21" t="s">
        <v>198</v>
      </c>
      <c r="M228" s="43"/>
      <c r="N228" s="43"/>
      <c r="O228" s="43"/>
      <c r="P228" s="43"/>
      <c r="Q228" s="43"/>
      <c r="R228" s="43"/>
      <c r="S228" s="43"/>
    </row>
    <row r="229" spans="2:20" hidden="1" outlineLevel="1" x14ac:dyDescent="0.2">
      <c r="B229" s="17"/>
      <c r="C229" s="17"/>
      <c r="D229" s="17"/>
      <c r="E229" s="17"/>
      <c r="F229" s="20"/>
      <c r="G229" s="20"/>
      <c r="H229" s="20"/>
      <c r="I229" s="17"/>
      <c r="J229" s="17"/>
      <c r="K229" s="17"/>
      <c r="L229" s="20"/>
      <c r="M229" s="43"/>
      <c r="N229" s="43"/>
      <c r="O229" s="43"/>
      <c r="P229" s="43"/>
      <c r="Q229" s="43"/>
      <c r="R229" s="43"/>
      <c r="S229" s="43"/>
    </row>
    <row r="230" spans="2:20" ht="15" hidden="1" outlineLevel="1" thickBot="1" x14ac:dyDescent="0.3">
      <c r="B230" s="17"/>
      <c r="C230" s="17"/>
      <c r="D230" s="67" t="s">
        <v>70</v>
      </c>
      <c r="E230" s="67"/>
      <c r="F230" s="68">
        <f>SUM(F168:F228)-F182-F186-F192-F199-F204-F218-F223-F210</f>
        <v>106.60088015999999</v>
      </c>
      <c r="G230" s="68">
        <f>SUM(G168:G228)-G182-G186-G192-G199-G204-G218-G223-G210</f>
        <v>208.15407848118898</v>
      </c>
      <c r="H230" s="68">
        <f>SUM(H168:H228)-H182-H186-H192-H199-H204-H218-H223-H210</f>
        <v>10509.137694465086</v>
      </c>
      <c r="I230" s="21"/>
      <c r="J230" s="68">
        <f>SUM(J168:J228)-J182-J186-J192-J199-J204-J218-J223-J210</f>
        <v>314.75495864118898</v>
      </c>
      <c r="K230" s="68">
        <f>SUM(K168:K228)-K182-K186-K192-K199-K204-K218-K223-K210</f>
        <v>10823.892653106273</v>
      </c>
      <c r="L230" s="68" t="s">
        <v>198</v>
      </c>
      <c r="M230" s="43"/>
      <c r="N230" s="43"/>
      <c r="O230" s="43"/>
      <c r="P230" s="43"/>
      <c r="Q230" s="43"/>
      <c r="R230" s="43"/>
      <c r="S230" s="43"/>
    </row>
    <row r="231" spans="2:20" ht="13.5" hidden="1" outlineLevel="1" thickTop="1" x14ac:dyDescent="0.2">
      <c r="B231" s="17"/>
      <c r="C231" s="17"/>
      <c r="D231" s="17"/>
      <c r="E231" s="17"/>
      <c r="F231" s="20"/>
      <c r="G231" s="20"/>
      <c r="H231" s="20"/>
      <c r="I231" s="17"/>
      <c r="J231" s="17"/>
      <c r="K231" s="17"/>
      <c r="L231" s="20"/>
      <c r="M231" s="43"/>
      <c r="N231" s="43"/>
      <c r="O231" s="43"/>
      <c r="P231" s="43"/>
      <c r="Q231" s="43"/>
      <c r="R231" s="43"/>
      <c r="S231" s="43"/>
    </row>
    <row r="232" spans="2:20" collapsed="1" x14ac:dyDescent="0.2"/>
    <row r="234" spans="2:20" ht="15.75" hidden="1" outlineLevel="1" x14ac:dyDescent="0.25">
      <c r="B234" s="22"/>
      <c r="C234" s="22" t="s">
        <v>117</v>
      </c>
      <c r="D234" s="17"/>
      <c r="E234" s="17"/>
      <c r="F234" s="17"/>
      <c r="G234" s="17"/>
      <c r="H234" s="17"/>
      <c r="I234" s="17"/>
      <c r="J234" s="17"/>
      <c r="K234" s="17"/>
      <c r="L234" s="17"/>
      <c r="N234" s="22" t="s">
        <v>120</v>
      </c>
      <c r="O234" s="17"/>
      <c r="P234" s="17"/>
      <c r="Q234" s="17"/>
      <c r="R234" s="17"/>
      <c r="S234" s="17"/>
      <c r="T234" s="17"/>
    </row>
    <row r="235" spans="2:20" ht="15" hidden="1" outlineLevel="1" x14ac:dyDescent="0.25">
      <c r="B235" s="64"/>
      <c r="C235" s="64">
        <v>2030</v>
      </c>
      <c r="D235" s="17" t="s">
        <v>207</v>
      </c>
      <c r="E235" s="25"/>
      <c r="F235" s="25"/>
      <c r="G235" s="25"/>
      <c r="H235" s="25"/>
      <c r="I235" s="25"/>
      <c r="J235" s="25"/>
      <c r="K235" s="25"/>
      <c r="L235" s="25"/>
      <c r="N235" s="64">
        <v>2030</v>
      </c>
      <c r="O235" s="17"/>
      <c r="P235" s="17"/>
      <c r="Q235" s="17"/>
      <c r="R235" s="17"/>
      <c r="S235" s="17"/>
      <c r="T235" s="17"/>
    </row>
    <row r="236" spans="2:20" hidden="1" outlineLevel="1" x14ac:dyDescent="0.2">
      <c r="B236" s="302"/>
      <c r="C236" s="17"/>
      <c r="D236" s="17" t="s">
        <v>179</v>
      </c>
      <c r="E236" s="315">
        <f>(1-(IF(NOT(ISBLANK($K17)),$K17/100,$I17/100)))</f>
        <v>1</v>
      </c>
      <c r="F236" s="17"/>
      <c r="G236" s="17"/>
      <c r="H236" s="17"/>
      <c r="I236" s="17"/>
      <c r="J236" s="17"/>
      <c r="K236" s="17"/>
      <c r="L236" s="17"/>
      <c r="N236" s="17"/>
      <c r="O236" s="17"/>
      <c r="P236" s="17"/>
      <c r="Q236" s="17"/>
      <c r="R236" s="17"/>
      <c r="S236" s="17"/>
      <c r="T236" s="17"/>
    </row>
    <row r="237" spans="2:20" hidden="1" outlineLevel="1" x14ac:dyDescent="0.2">
      <c r="B237" s="302"/>
      <c r="C237" s="17"/>
      <c r="D237" s="17" t="s">
        <v>180</v>
      </c>
      <c r="E237" s="315">
        <f>(1-(IF(NOT(ISBLANK($K18)),$K18/100,$I18/100)))</f>
        <v>1</v>
      </c>
      <c r="F237" s="17"/>
      <c r="G237" s="17"/>
      <c r="H237" s="17"/>
      <c r="I237" s="17"/>
      <c r="J237" s="17"/>
      <c r="K237" s="17"/>
      <c r="L237" s="17"/>
      <c r="N237" s="17"/>
      <c r="O237" s="17"/>
      <c r="P237" s="17"/>
      <c r="Q237" s="17"/>
      <c r="R237" s="17"/>
      <c r="S237" s="17"/>
      <c r="T237" s="17"/>
    </row>
    <row r="238" spans="2:20" hidden="1" outlineLevel="1" x14ac:dyDescent="0.2">
      <c r="B238" s="302"/>
      <c r="C238" s="17"/>
      <c r="D238" s="17" t="s">
        <v>181</v>
      </c>
      <c r="E238" s="315">
        <f>(1-(IF(NOT(ISBLANK($K19)),$K19/100,$I19/100)))</f>
        <v>1</v>
      </c>
      <c r="F238" s="17"/>
      <c r="G238" s="17"/>
      <c r="H238" s="17"/>
      <c r="I238" s="17"/>
      <c r="J238" s="17"/>
      <c r="K238" s="17"/>
      <c r="L238" s="17"/>
      <c r="N238" s="17"/>
      <c r="O238" s="17"/>
      <c r="P238" s="17"/>
      <c r="Q238" s="17"/>
      <c r="R238" s="17"/>
      <c r="S238" s="17"/>
      <c r="T238" s="17"/>
    </row>
    <row r="239" spans="2:20" hidden="1" outlineLevel="1" x14ac:dyDescent="0.2">
      <c r="B239" s="302"/>
      <c r="C239" s="17"/>
      <c r="D239" s="17"/>
      <c r="E239" s="315">
        <v>0</v>
      </c>
      <c r="F239" s="17"/>
      <c r="G239" s="17"/>
      <c r="H239" s="17"/>
      <c r="I239" s="17"/>
      <c r="J239" s="17"/>
      <c r="K239" s="17"/>
      <c r="L239" s="17"/>
      <c r="N239" s="17"/>
      <c r="O239" s="17"/>
      <c r="P239" s="17"/>
      <c r="Q239" s="17"/>
      <c r="R239" s="17"/>
      <c r="S239" s="17"/>
      <c r="T239" s="17"/>
    </row>
    <row r="240" spans="2:20" hidden="1" outlineLevel="1" x14ac:dyDescent="0.2">
      <c r="B240" s="302"/>
      <c r="C240" s="17"/>
      <c r="D240" s="17"/>
      <c r="E240" s="17"/>
      <c r="F240" s="17"/>
      <c r="G240" s="17"/>
      <c r="H240" s="17"/>
      <c r="I240" s="17"/>
      <c r="J240" s="17"/>
      <c r="K240" s="17"/>
      <c r="L240" s="17"/>
      <c r="N240" s="17"/>
      <c r="O240" s="17"/>
      <c r="P240" s="17"/>
      <c r="Q240" s="17"/>
      <c r="R240" s="17"/>
      <c r="S240" s="17"/>
      <c r="T240" s="17"/>
    </row>
    <row r="241" spans="2:20" hidden="1" outlineLevel="1" x14ac:dyDescent="0.2">
      <c r="B241" s="302"/>
      <c r="C241" s="17"/>
      <c r="D241" s="17" t="s">
        <v>337</v>
      </c>
      <c r="E241" s="323">
        <f>((1-E236)*IF(NOT(ISBLANK('Referenz Pflasterwerk'!$I42)),'Referenz Pflasterwerk'!$I42,'Referenz Pflasterwerk'!$F42)+(1-E237)*IF(NOT(ISBLANK('Referenz Pflasterwerk'!$I43)),'Referenz Pflasterwerk'!$I43,'Referenz Pflasterwerk'!$F43)+(1-E238)*IF(NOT(ISBLANK('Referenz Pflasterwerk'!$I44)),'Referenz Pflasterwerk'!$I44,'Referenz Pflasterwerk'!$F44))*IF(NOT(ISBLANK('Referenz Pflasterwerk'!$I$12)),'Referenz Pflasterwerk'!$I$12,'Referenz Pflasterwerk'!$F$12)</f>
        <v>0</v>
      </c>
      <c r="F241" s="17" t="s">
        <v>49</v>
      </c>
      <c r="G241" s="17"/>
      <c r="H241" s="17"/>
      <c r="I241" s="17"/>
      <c r="J241" s="17"/>
      <c r="K241" s="17"/>
      <c r="L241" s="17"/>
      <c r="N241" s="17"/>
      <c r="O241" s="17"/>
      <c r="P241" s="17"/>
      <c r="Q241" s="17"/>
      <c r="R241" s="17"/>
      <c r="S241" s="17"/>
      <c r="T241" s="17"/>
    </row>
    <row r="242" spans="2:20" hidden="1" outlineLevel="1" x14ac:dyDescent="0.2">
      <c r="B242" s="302"/>
      <c r="C242" s="17"/>
      <c r="D242" s="17"/>
      <c r="E242" s="17"/>
      <c r="F242" s="17"/>
      <c r="G242" s="17"/>
      <c r="H242" s="17"/>
      <c r="I242" s="17"/>
      <c r="J242" s="17"/>
      <c r="K242" s="17"/>
      <c r="L242" s="17"/>
      <c r="N242" s="17"/>
      <c r="O242" s="17"/>
      <c r="P242" s="17"/>
      <c r="Q242" s="17"/>
      <c r="R242" s="17"/>
      <c r="S242" s="17"/>
      <c r="T242" s="17"/>
    </row>
    <row r="243" spans="2:20" hidden="1" outlineLevel="1" x14ac:dyDescent="0.2">
      <c r="B243" s="17"/>
      <c r="C243" s="17"/>
      <c r="D243" s="17"/>
      <c r="E243" s="17"/>
      <c r="F243" s="17"/>
      <c r="G243" s="17"/>
      <c r="H243" s="17"/>
      <c r="I243" s="17"/>
      <c r="J243" s="17"/>
      <c r="K243" s="17"/>
      <c r="L243" s="17"/>
      <c r="N243" s="17"/>
      <c r="O243" s="17"/>
      <c r="P243" s="17"/>
      <c r="Q243" s="17"/>
      <c r="R243" s="17"/>
      <c r="S243" s="17"/>
      <c r="T243" s="17"/>
    </row>
    <row r="244" spans="2:20" ht="25.5" hidden="1" outlineLevel="1" x14ac:dyDescent="0.2">
      <c r="B244" s="17"/>
      <c r="C244" s="17"/>
      <c r="D244" s="17"/>
      <c r="E244" s="17"/>
      <c r="F244" s="36" t="s">
        <v>27</v>
      </c>
      <c r="G244" s="36" t="s">
        <v>85</v>
      </c>
      <c r="H244" s="36" t="s">
        <v>29</v>
      </c>
      <c r="I244" s="17"/>
      <c r="J244" s="40" t="s">
        <v>114</v>
      </c>
      <c r="K244" s="41" t="s">
        <v>40</v>
      </c>
      <c r="L244" s="17"/>
      <c r="N244" s="17"/>
      <c r="O244" s="17"/>
      <c r="P244" s="17"/>
      <c r="Q244" s="18"/>
      <c r="R244" s="17"/>
      <c r="S244" s="18"/>
      <c r="T244" s="18"/>
    </row>
    <row r="245" spans="2:20" ht="14.25" hidden="1" outlineLevel="1" x14ac:dyDescent="0.25">
      <c r="B245" s="76"/>
      <c r="C245" s="76" t="s">
        <v>191</v>
      </c>
      <c r="D245" s="76"/>
      <c r="E245" s="76"/>
      <c r="F245" s="77">
        <f>SUM(F247:F260)</f>
        <v>106.60088015999999</v>
      </c>
      <c r="G245" s="77">
        <f>SUM(G247:G260)</f>
        <v>102.58759141018427</v>
      </c>
      <c r="H245" s="77">
        <f>SUM(H247:H260)</f>
        <v>33.751991196047953</v>
      </c>
      <c r="I245" s="76"/>
      <c r="J245" s="77">
        <f>F245+G245</f>
        <v>209.18847157018428</v>
      </c>
      <c r="K245" s="77">
        <f>SUM(F245:H245)</f>
        <v>242.94046276623223</v>
      </c>
      <c r="L245" s="76" t="s">
        <v>198</v>
      </c>
      <c r="N245" s="17"/>
      <c r="O245" s="17"/>
      <c r="P245" s="17"/>
      <c r="Q245" s="18"/>
      <c r="R245" s="17"/>
      <c r="S245" s="18"/>
      <c r="T245" s="18"/>
    </row>
    <row r="246" spans="2:20" hidden="1" outlineLevel="1" x14ac:dyDescent="0.2">
      <c r="B246" s="17"/>
      <c r="C246" s="17" t="s">
        <v>148</v>
      </c>
      <c r="D246" s="17"/>
      <c r="E246" s="17"/>
      <c r="F246" s="17"/>
      <c r="G246" s="17"/>
      <c r="H246" s="17"/>
      <c r="I246" s="17"/>
      <c r="J246" s="17"/>
      <c r="K246" s="17"/>
      <c r="L246" s="17"/>
      <c r="N246" s="17" t="s">
        <v>148</v>
      </c>
      <c r="O246" s="17"/>
      <c r="P246" s="17"/>
      <c r="Q246" s="18"/>
      <c r="R246" s="17"/>
      <c r="S246" s="18"/>
      <c r="T246" s="18"/>
    </row>
    <row r="247" spans="2:20" ht="15.75" hidden="1" outlineLevel="1" x14ac:dyDescent="0.3">
      <c r="B247" s="302"/>
      <c r="C247" s="17"/>
      <c r="D247" s="17" t="s">
        <v>128</v>
      </c>
      <c r="E247" s="17"/>
      <c r="F247" s="38">
        <f>IF(NOT(ISBLANK('Referenz Pflasterwerk'!$I16)),'Referenz Pflasterwerk'!$I16,'Referenz Pflasterwerk'!$F16)*IF(NOT(ISBLANK('Eingabe EF'!$AS9)),'Eingabe EF'!$AS9,'Eingabe EF'!$AQ9)</f>
        <v>1.6484399999999999</v>
      </c>
      <c r="G247" s="38">
        <f>IF(NOT(ISBLANK('Referenz Pflasterwerk'!$I16)),'Referenz Pflasterwerk'!$I16,'Referenz Pflasterwerk'!$F16)*IF(NOT(ISBLANK('Eingabe EF'!$AW9)),'Eingabe EF'!$AW9,'Eingabe EF'!$AU9)</f>
        <v>0</v>
      </c>
      <c r="H247" s="38">
        <f>IF(NOT(ISBLANK('Referenz Pflasterwerk'!$I16)),'Referenz Pflasterwerk'!$I16,'Referenz Pflasterwerk'!$F16)*IF(NOT(ISBLANK('Eingabe EF'!$BA9)),'Eingabe EF'!$BA9,'Eingabe EF'!$AY9)</f>
        <v>0.28215000000000001</v>
      </c>
      <c r="I247" s="17"/>
      <c r="J247" s="38">
        <f>F247+G247</f>
        <v>1.6484399999999999</v>
      </c>
      <c r="K247" s="38">
        <f>SUM(F247:H247)</f>
        <v>1.93059</v>
      </c>
      <c r="L247" s="17" t="s">
        <v>199</v>
      </c>
      <c r="N247" s="302"/>
      <c r="O247" s="17" t="s">
        <v>128</v>
      </c>
      <c r="P247" s="17"/>
      <c r="Q247" s="19"/>
      <c r="R247" s="17"/>
      <c r="S247" s="42">
        <f>IF(NOT(ISBLANK('Referenz Pflasterwerk'!$I16)),'Referenz Pflasterwerk'!$I16,'Referenz Pflasterwerk'!$F16)/1000*IF(NOT(ISBLANK('Eingabe Preise'!$O10)),'Eingabe Preise'!$O10,'Eingabe Preise'!$M10)</f>
        <v>549</v>
      </c>
      <c r="T247" s="20" t="s">
        <v>109</v>
      </c>
    </row>
    <row r="248" spans="2:20" ht="15.75" hidden="1" outlineLevel="1" x14ac:dyDescent="0.3">
      <c r="B248" s="302"/>
      <c r="C248" s="17"/>
      <c r="D248" s="17" t="s">
        <v>166</v>
      </c>
      <c r="E248" s="17"/>
      <c r="F248" s="38">
        <f>IF(NOT(ISBLANK('Referenz Pflasterwerk'!$I17)),'Referenz Pflasterwerk'!$I17,'Referenz Pflasterwerk'!$F17)*IF(NOT(ISBLANK('Eingabe EF'!$AS10)),'Eingabe EF'!$AS10,'Eingabe EF'!$AQ10)</f>
        <v>0.53351999999999999</v>
      </c>
      <c r="G248" s="38">
        <f>IF(NOT(ISBLANK('Referenz Pflasterwerk'!$I17)),'Referenz Pflasterwerk'!$I17,'Referenz Pflasterwerk'!$F17)*IF(NOT(ISBLANK('Eingabe EF'!$AW10)),'Eingabe EF'!$AW10,'Eingabe EF'!$AU10)</f>
        <v>0</v>
      </c>
      <c r="H248" s="38">
        <f>IF(NOT(ISBLANK('Referenz Pflasterwerk'!$I17)),'Referenz Pflasterwerk'!$I17,'Referenz Pflasterwerk'!$F17)*IF(NOT(ISBLANK('Eingabe EF'!$BA10)),'Eingabe EF'!$BA10,'Eingabe EF'!$AY10)</f>
        <v>7.9152E-2</v>
      </c>
      <c r="I248" s="17"/>
      <c r="J248" s="38">
        <f>F248+G248</f>
        <v>0.53351999999999999</v>
      </c>
      <c r="K248" s="38">
        <f>SUM(F248:H248)</f>
        <v>0.61267199999999999</v>
      </c>
      <c r="L248" s="17" t="s">
        <v>199</v>
      </c>
      <c r="N248" s="302"/>
      <c r="O248" s="17" t="s">
        <v>166</v>
      </c>
      <c r="P248" s="17"/>
      <c r="Q248" s="20"/>
      <c r="R248" s="17"/>
      <c r="S248" s="42">
        <f>IF(NOT(ISBLANK('Referenz Pflasterwerk'!$I17)),'Referenz Pflasterwerk'!$I17,'Referenz Pflasterwerk'!$F17)/1000*IF(NOT(ISBLANK('Eingabe Preise'!$O11)),'Eingabe Preise'!$O11,'Eingabe Preise'!$M11)</f>
        <v>92</v>
      </c>
      <c r="T248" s="20" t="s">
        <v>109</v>
      </c>
    </row>
    <row r="249" spans="2:20" ht="15.75" hidden="1" outlineLevel="1" x14ac:dyDescent="0.3">
      <c r="B249" s="302"/>
      <c r="C249" s="17"/>
      <c r="D249" s="17" t="s">
        <v>154</v>
      </c>
      <c r="E249" s="17"/>
      <c r="F249" s="38">
        <f>IF(NOT(ISBLANK('Referenz Pflasterwerk'!$I18)),'Referenz Pflasterwerk'!$I18,'Referenz Pflasterwerk'!$F18)*IF(NOT(ISBLANK('Eingabe EF'!$AS11)),'Eingabe EF'!$AS11,'Eingabe EF'!$AQ11)</f>
        <v>0</v>
      </c>
      <c r="G249" s="38">
        <f>IF(NOT(ISBLANK('Referenz Pflasterwerk'!$I18)),'Referenz Pflasterwerk'!$I18,'Referenz Pflasterwerk'!$F18)*IF(NOT(ISBLANK('Eingabe EF'!$AW11)),'Eingabe EF'!$AW11,'Eingabe EF'!$AU11)</f>
        <v>20.517518282036853</v>
      </c>
      <c r="H249" s="38">
        <f>IF(NOT(ISBLANK('Referenz Pflasterwerk'!$I18)),'Referenz Pflasterwerk'!$I18,'Referenz Pflasterwerk'!$F18)*IF(NOT(ISBLANK('Eingabe EF'!$BA11)),'Eingabe EF'!$BA11,'Eingabe EF'!$AY11)</f>
        <v>3.0078037272095908</v>
      </c>
      <c r="I249" s="17"/>
      <c r="J249" s="38">
        <f>F249+G249</f>
        <v>20.517518282036853</v>
      </c>
      <c r="K249" s="38">
        <f>SUM(F249:H249)</f>
        <v>23.525322009246445</v>
      </c>
      <c r="L249" s="17" t="s">
        <v>199</v>
      </c>
      <c r="N249" s="302"/>
      <c r="O249" s="17" t="s">
        <v>154</v>
      </c>
      <c r="P249" s="17"/>
      <c r="Q249" s="20"/>
      <c r="R249" s="17"/>
      <c r="S249" s="42">
        <f>IF(NOT(ISBLANK('Referenz Pflasterwerk'!$I18)),'Referenz Pflasterwerk'!$I18,'Referenz Pflasterwerk'!$F18)/1000*IF(NOT(ISBLANK('Eingabe Preise'!$O12)),'Eingabe Preise'!$O12,'Eingabe Preise'!$M12)</f>
        <v>25800</v>
      </c>
      <c r="T249" s="20" t="s">
        <v>109</v>
      </c>
    </row>
    <row r="250" spans="2:20" ht="15.75" hidden="1" outlineLevel="1" x14ac:dyDescent="0.3">
      <c r="B250" s="302"/>
      <c r="C250" s="17"/>
      <c r="D250" s="17" t="s">
        <v>129</v>
      </c>
      <c r="E250" s="17"/>
      <c r="F250" s="44">
        <f>IF(NOT(ISBLANK('Referenz Pflasterwerk'!$I19)),'Referenz Pflasterwerk'!$I19,'Referenz Pflasterwerk'!$F19)*IF(NOT(ISBLANK('Eingabe EF'!$AS12)),'Eingabe EF'!$AS12,0)</f>
        <v>0</v>
      </c>
      <c r="G250" s="44">
        <f>IF(NOT(ISBLANK('Referenz Pflasterwerk'!$I19)),'Referenz Pflasterwerk'!$I19,'Referenz Pflasterwerk'!$F19)*IF(NOT(ISBLANK('Eingabe EF'!$AW12)),'Eingabe EF'!$AW12,0)</f>
        <v>0</v>
      </c>
      <c r="H250" s="44">
        <f>IF(NOT(ISBLANK('Referenz Pflasterwerk'!$I19)),'Referenz Pflasterwerk'!$I19,'Referenz Pflasterwerk'!$F19)*IF(NOT(ISBLANK('Eingabe EF'!$BA12)),'Eingabe EF'!$BA12,0)</f>
        <v>0</v>
      </c>
      <c r="I250" s="17"/>
      <c r="J250" s="38">
        <f>F250+G250</f>
        <v>0</v>
      </c>
      <c r="K250" s="38">
        <f>SUM(F250:H250)</f>
        <v>0</v>
      </c>
      <c r="L250" s="17" t="s">
        <v>199</v>
      </c>
      <c r="N250" s="302"/>
      <c r="O250" s="17" t="s">
        <v>129</v>
      </c>
      <c r="P250" s="17"/>
      <c r="Q250" s="20"/>
      <c r="R250" s="17"/>
      <c r="S250" s="42">
        <f>IF(NOT(ISBLANK('Referenz Pflasterwerk'!$I19)),'Referenz Pflasterwerk'!$I19,'Referenz Pflasterwerk'!$F19)/1000*IF(NOT(ISBLANK('Eingabe Preise'!$O16)),'Eingabe Preise'!$O16,0)</f>
        <v>0</v>
      </c>
      <c r="T250" s="20" t="s">
        <v>109</v>
      </c>
    </row>
    <row r="251" spans="2:20" hidden="1" outlineLevel="1" x14ac:dyDescent="0.2">
      <c r="B251" s="17"/>
      <c r="C251" s="17" t="s">
        <v>149</v>
      </c>
      <c r="D251" s="17"/>
      <c r="E251" s="17"/>
      <c r="F251" s="17"/>
      <c r="G251" s="17"/>
      <c r="H251" s="17"/>
      <c r="I251" s="17"/>
      <c r="J251" s="17"/>
      <c r="K251" s="17"/>
      <c r="L251" s="17"/>
      <c r="N251" s="17" t="s">
        <v>149</v>
      </c>
      <c r="O251" s="17"/>
      <c r="P251" s="17"/>
      <c r="Q251" s="20"/>
      <c r="R251" s="17"/>
      <c r="S251" s="20"/>
      <c r="T251" s="20"/>
    </row>
    <row r="252" spans="2:20" ht="15.75" hidden="1" outlineLevel="1" x14ac:dyDescent="0.3">
      <c r="B252" s="17"/>
      <c r="C252" s="17"/>
      <c r="D252" s="17" t="s">
        <v>32</v>
      </c>
      <c r="E252" s="17"/>
      <c r="F252" s="44">
        <f>IF(NOT(ISBLANK('Referenz Pflasterwerk'!$I21)),'Referenz Pflasterwerk'!$I21,'Referenz Pflasterwerk'!$F21)*IF(NOT(ISBLANK('Eingabe EF'!$AS9)),'Eingabe EF'!$AS9,'Eingabe EF'!$AQ9)</f>
        <v>6.5937599999999996</v>
      </c>
      <c r="G252" s="44">
        <f>IF(NOT(ISBLANK('Referenz Pflasterwerk'!$I21)),'Referenz Pflasterwerk'!$I21,'Referenz Pflasterwerk'!$F21)*IF(NOT(ISBLANK('Eingabe EF'!$AW9)),'Eingabe EF'!$AW9,'Eingabe EF'!$AU9)</f>
        <v>0</v>
      </c>
      <c r="H252" s="44">
        <f>IF(NOT(ISBLANK('Referenz Pflasterwerk'!$I21)),'Referenz Pflasterwerk'!$I21,'Referenz Pflasterwerk'!$F21)*IF(NOT(ISBLANK('Eingabe EF'!$BA9)),'Eingabe EF'!$BA9,'Eingabe EF'!$AY9)</f>
        <v>1.1286</v>
      </c>
      <c r="I252" s="17"/>
      <c r="J252" s="38">
        <f t="shared" ref="J252:J253" si="47">F252+G252</f>
        <v>6.5937599999999996</v>
      </c>
      <c r="K252" s="38">
        <f t="shared" ref="K252:K253" si="48">SUM(F252:H252)</f>
        <v>7.7223600000000001</v>
      </c>
      <c r="L252" s="17" t="s">
        <v>199</v>
      </c>
      <c r="N252" s="17"/>
      <c r="O252" s="17" t="s">
        <v>32</v>
      </c>
      <c r="P252" s="17"/>
      <c r="Q252" s="20"/>
      <c r="R252" s="17"/>
      <c r="S252" s="42">
        <f>IF(NOT(ISBLANK('Referenz Pflasterwerk'!$I21)),'Referenz Pflasterwerk'!$I21,'Referenz Pflasterwerk'!$F21)/1000*IF(NOT(ISBLANK('Eingabe Preise'!$O10)),'Eingabe Preise'!$O10,'Eingabe Preise'!$M10)</f>
        <v>2196</v>
      </c>
      <c r="T252" s="20" t="s">
        <v>109</v>
      </c>
    </row>
    <row r="253" spans="2:20" ht="15.75" hidden="1" outlineLevel="1" x14ac:dyDescent="0.3">
      <c r="B253" s="17"/>
      <c r="C253" s="17"/>
      <c r="D253" s="17" t="s">
        <v>33</v>
      </c>
      <c r="E253" s="17"/>
      <c r="F253" s="44">
        <f>IF(NOT(ISBLANK('Referenz Pflasterwerk'!$I22)),'Referenz Pflasterwerk'!$I22,'Referenz Pflasterwerk'!$F22)*IF(NOT(ISBLANK('Eingabe EF'!$AS10)),'Eingabe EF'!$AS10,'Eingabe EF'!$AQ10)</f>
        <v>2.13408</v>
      </c>
      <c r="G253" s="44">
        <f>IF(NOT(ISBLANK('Referenz Pflasterwerk'!$I22)),'Referenz Pflasterwerk'!$I22,'Referenz Pflasterwerk'!$F22)*IF(NOT(ISBLANK('Eingabe EF'!$AW10)),'Eingabe EF'!$AW10,'Eingabe EF'!$AU10)</f>
        <v>0</v>
      </c>
      <c r="H253" s="44">
        <f>IF(NOT(ISBLANK('Referenz Pflasterwerk'!$I22)),'Referenz Pflasterwerk'!$I22,'Referenz Pflasterwerk'!$F22)*IF(NOT(ISBLANK('Eingabe EF'!$BA10)),'Eingabe EF'!$BA10,'Eingabe EF'!$AY10)</f>
        <v>0.316608</v>
      </c>
      <c r="I253" s="17"/>
      <c r="J253" s="38">
        <f t="shared" si="47"/>
        <v>2.13408</v>
      </c>
      <c r="K253" s="38">
        <f t="shared" si="48"/>
        <v>2.450688</v>
      </c>
      <c r="L253" s="17" t="s">
        <v>199</v>
      </c>
      <c r="N253" s="17"/>
      <c r="O253" s="17" t="s">
        <v>33</v>
      </c>
      <c r="P253" s="17"/>
      <c r="Q253" s="20"/>
      <c r="R253" s="17"/>
      <c r="S253" s="42">
        <f>IF(NOT(ISBLANK('Referenz Pflasterwerk'!$I22)),'Referenz Pflasterwerk'!$I22,'Referenz Pflasterwerk'!$F22)/1000*IF(NOT(ISBLANK('Eingabe Preise'!$O11)),'Eingabe Preise'!$O11,'Eingabe Preise'!$M11)</f>
        <v>368</v>
      </c>
      <c r="T253" s="20" t="s">
        <v>109</v>
      </c>
    </row>
    <row r="254" spans="2:20" hidden="1" outlineLevel="1" x14ac:dyDescent="0.2">
      <c r="B254" s="17"/>
      <c r="C254" s="17" t="s">
        <v>150</v>
      </c>
      <c r="D254" s="17"/>
      <c r="E254" s="17"/>
      <c r="F254" s="17"/>
      <c r="G254" s="17"/>
      <c r="H254" s="17"/>
      <c r="I254" s="17"/>
      <c r="J254" s="17"/>
      <c r="K254" s="17"/>
      <c r="L254" s="17"/>
      <c r="N254" s="17" t="s">
        <v>150</v>
      </c>
      <c r="O254" s="17"/>
      <c r="P254" s="17"/>
      <c r="Q254" s="20"/>
      <c r="R254" s="17"/>
      <c r="S254" s="20"/>
      <c r="T254" s="20"/>
    </row>
    <row r="255" spans="2:20" ht="15.75" hidden="1" outlineLevel="1" x14ac:dyDescent="0.3">
      <c r="B255" s="17"/>
      <c r="C255" s="17"/>
      <c r="D255" s="17" t="s">
        <v>152</v>
      </c>
      <c r="E255" s="17"/>
      <c r="F255" s="44">
        <f>IF(NOT(ISBLANK('Referenz Pflasterwerk'!$I24)),'Referenz Pflasterwerk'!$I24,'Referenz Pflasterwerk'!$F24)*IF(NOT(ISBLANK('Eingabe EF'!$AS11)),'Eingabe EF'!$AS11,'Eingabe EF'!$AQ11)</f>
        <v>0</v>
      </c>
      <c r="G255" s="44">
        <f>IF(NOT(ISBLANK('Referenz Pflasterwerk'!$I24)),'Referenz Pflasterwerk'!$I24,'Referenz Pflasterwerk'!$F24)*IF(NOT(ISBLANK('Eingabe EF'!$AW11)),'Eingabe EF'!$AW11,'Eingabe EF'!$AU11)</f>
        <v>82.070073128147413</v>
      </c>
      <c r="H255" s="44">
        <f>IF(NOT(ISBLANK('Referenz Pflasterwerk'!$I24)),'Referenz Pflasterwerk'!$I24,'Referenz Pflasterwerk'!$F24)*IF(NOT(ISBLANK('Eingabe EF'!$BA11)),'Eingabe EF'!$BA11,'Eingabe EF'!$AY11)</f>
        <v>12.031214908838363</v>
      </c>
      <c r="I255" s="17"/>
      <c r="J255" s="38">
        <f t="shared" ref="J255:J263" si="49">F255+G255</f>
        <v>82.070073128147413</v>
      </c>
      <c r="K255" s="38">
        <f t="shared" ref="K255:K263" si="50">SUM(F255:H255)</f>
        <v>94.101288036985778</v>
      </c>
      <c r="L255" s="17" t="s">
        <v>199</v>
      </c>
      <c r="N255" s="17"/>
      <c r="O255" s="17" t="s">
        <v>152</v>
      </c>
      <c r="P255" s="17"/>
      <c r="Q255" s="20"/>
      <c r="R255" s="17"/>
      <c r="S255" s="42">
        <f>IF(NOT(ISBLANK('Referenz Pflasterwerk'!$I24)),'Referenz Pflasterwerk'!$I24,'Referenz Pflasterwerk'!$F24)/1000*IF(NOT(ISBLANK('Eingabe Preise'!$O12)),'Eingabe Preise'!$O12,'Eingabe Preise'!$M12)</f>
        <v>103200</v>
      </c>
      <c r="T255" s="20" t="s">
        <v>109</v>
      </c>
    </row>
    <row r="256" spans="2:20" ht="15.75" hidden="1" outlineLevel="1" x14ac:dyDescent="0.3">
      <c r="B256" s="17"/>
      <c r="C256" s="17"/>
      <c r="D256" s="17" t="s">
        <v>125</v>
      </c>
      <c r="E256" s="17"/>
      <c r="F256" s="44">
        <f>IF(NOT(ISBLANK('Referenz Pflasterwerk'!$I25)),'Referenz Pflasterwerk'!$I25,'Referenz Pflasterwerk'!$F25)*IF(NOT(ISBLANK('Eingabe EF'!$AS13)),'Eingabe EF'!$AS13,'Eingabe EF'!$AQ13)</f>
        <v>0</v>
      </c>
      <c r="G256" s="44">
        <f>IF(NOT(ISBLANK('Referenz Pflasterwerk'!$I25)),'Referenz Pflasterwerk'!$I25,'Referenz Pflasterwerk'!$F25)*IF(NOT(ISBLANK('Eingabe EF'!$AW13)),'Eingabe EF'!$AW13,'Eingabe EF'!$AU13)</f>
        <v>0</v>
      </c>
      <c r="H256" s="44">
        <f>IF(NOT(ISBLANK('Referenz Pflasterwerk'!$I25)),'Referenz Pflasterwerk'!$I25,'Referenz Pflasterwerk'!$F25)*IF(NOT(ISBLANK('Eingabe EF'!$BA13)),'Eingabe EF'!$BA13,'Eingabe EF'!$AY13)</f>
        <v>0</v>
      </c>
      <c r="I256" s="17"/>
      <c r="J256" s="38">
        <f t="shared" si="49"/>
        <v>0</v>
      </c>
      <c r="K256" s="38">
        <f t="shared" si="50"/>
        <v>0</v>
      </c>
      <c r="L256" s="17" t="s">
        <v>199</v>
      </c>
      <c r="N256" s="17"/>
      <c r="O256" s="17" t="s">
        <v>125</v>
      </c>
      <c r="P256" s="17"/>
      <c r="Q256" s="20"/>
      <c r="R256" s="17"/>
      <c r="S256" s="42">
        <f>IF(NOT(ISBLANK('Referenz Pflasterwerk'!$I25)),'Referenz Pflasterwerk'!$I25,'Referenz Pflasterwerk'!$F25)/1000*IF(NOT(ISBLANK('Eingabe Preise'!$O13)),'Eingabe Preise'!$O13,'Eingabe Preise'!$M13)</f>
        <v>0</v>
      </c>
      <c r="T256" s="20" t="s">
        <v>109</v>
      </c>
    </row>
    <row r="257" spans="2:20" ht="15.75" hidden="1" outlineLevel="1" x14ac:dyDescent="0.3">
      <c r="B257" s="17"/>
      <c r="C257" s="17"/>
      <c r="D257" s="17" t="s">
        <v>151</v>
      </c>
      <c r="E257" s="17"/>
      <c r="F257" s="44">
        <f>IF(NOT(ISBLANK('Referenz Pflasterwerk'!$I26)),'Referenz Pflasterwerk'!$I26,'Referenz Pflasterwerk'!$F26)*IF(NOT(ISBLANK('Eingabe EF'!$AS14)),'Eingabe EF'!$AS14,0)</f>
        <v>0</v>
      </c>
      <c r="G257" s="44">
        <f>IF(NOT(ISBLANK('Referenz Pflasterwerk'!$I26)),'Referenz Pflasterwerk'!$I26,'Referenz Pflasterwerk'!$F26)*IF(NOT(ISBLANK('Eingabe EF'!$AW14)),'Eingabe EF'!$AW14,0)</f>
        <v>0</v>
      </c>
      <c r="H257" s="44">
        <f>IF(NOT(ISBLANK('Referenz Pflasterwerk'!$I26)),'Referenz Pflasterwerk'!$I26,'Referenz Pflasterwerk'!$F26)*IF(NOT(ISBLANK('Eingabe EF'!$BA14)),'Eingabe EF'!$BA14,0)</f>
        <v>0</v>
      </c>
      <c r="I257" s="17"/>
      <c r="J257" s="38">
        <f t="shared" si="49"/>
        <v>0</v>
      </c>
      <c r="K257" s="38">
        <f t="shared" si="50"/>
        <v>0</v>
      </c>
      <c r="L257" s="17" t="s">
        <v>199</v>
      </c>
      <c r="N257" s="17"/>
      <c r="O257" s="17" t="s">
        <v>151</v>
      </c>
      <c r="P257" s="17"/>
      <c r="Q257" s="30"/>
      <c r="R257" s="17"/>
      <c r="S257" s="42">
        <f>IF(NOT(ISBLANK('Referenz Pflasterwerk'!$I26)),'Referenz Pflasterwerk'!$I26,'Referenz Pflasterwerk'!$F26)/1000*IF(NOT(ISBLANK('Eingabe Preise'!$O17)),'Eingabe Preise'!$O17,0)</f>
        <v>0</v>
      </c>
      <c r="T257" s="20" t="s">
        <v>109</v>
      </c>
    </row>
    <row r="258" spans="2:20" hidden="1" outlineLevel="1" x14ac:dyDescent="0.2">
      <c r="B258" s="17"/>
      <c r="C258" s="17"/>
      <c r="D258" s="17"/>
      <c r="E258" s="17"/>
      <c r="F258" s="17"/>
      <c r="G258" s="17"/>
      <c r="H258" s="17"/>
      <c r="I258" s="17"/>
      <c r="J258" s="17"/>
      <c r="K258" s="17"/>
      <c r="L258" s="17"/>
      <c r="N258" s="17"/>
      <c r="O258" s="17"/>
      <c r="P258" s="17"/>
      <c r="Q258" s="30"/>
      <c r="R258" s="17"/>
      <c r="S258" s="17"/>
      <c r="T258" s="17"/>
    </row>
    <row r="259" spans="2:20" ht="15.75" hidden="1" outlineLevel="1" x14ac:dyDescent="0.3">
      <c r="B259" s="17"/>
      <c r="C259" s="17" t="s">
        <v>78</v>
      </c>
      <c r="D259" s="17" t="s">
        <v>35</v>
      </c>
      <c r="E259" s="17"/>
      <c r="F259" s="44">
        <f>IF(NOT(ISBLANK('Referenz Pflasterwerk'!$I28)),'Referenz Pflasterwerk'!$I28,'Referenz Pflasterwerk'!$F28)*IF(NOT(ISBLANK('Eingabe EF'!$AS15)),'Eingabe EF'!$AS15,'Eingabe EF'!$AQ15)</f>
        <v>85.058737919999984</v>
      </c>
      <c r="G259" s="44">
        <f>IF(NOT(ISBLANK('Referenz Pflasterwerk'!$I28)),'Referenz Pflasterwerk'!$I28,'Referenz Pflasterwerk'!$F28)*IF(NOT(ISBLANK('Eingabe EF'!$AW15)),'Eingabe EF'!$AW15,'Eingabe EF'!$AU15)</f>
        <v>0</v>
      </c>
      <c r="H259" s="44">
        <f>IF(NOT(ISBLANK('Referenz Pflasterwerk'!$I28)),'Referenz Pflasterwerk'!$I28,'Referenz Pflasterwerk'!$F28)*IF(NOT(ISBLANK('Eingabe EF'!$BA15)),'Eingabe EF'!$BA15,'Eingabe EF'!$AY15)</f>
        <v>15.027966720000002</v>
      </c>
      <c r="I259" s="17"/>
      <c r="J259" s="38">
        <f t="shared" ref="J259:J261" si="51">F259+G259</f>
        <v>85.058737919999984</v>
      </c>
      <c r="K259" s="38">
        <f t="shared" ref="K259:K261" si="52">SUM(F259:H259)</f>
        <v>100.08670463999999</v>
      </c>
      <c r="L259" s="17" t="s">
        <v>199</v>
      </c>
      <c r="N259" s="17"/>
      <c r="O259" s="17" t="s">
        <v>35</v>
      </c>
      <c r="P259" s="17" t="s">
        <v>78</v>
      </c>
      <c r="Q259" s="30"/>
      <c r="R259" s="17"/>
      <c r="S259" s="42">
        <f>IF(NOT(ISBLANK('Referenz Pflasterwerk'!$I28)),'Referenz Pflasterwerk'!$I28,'Referenz Pflasterwerk'!$F28)*IF(NOT(ISBLANK('Eingabe Preise'!$O14)),'Eingabe Preise'!$O14,'Eingabe Preise'!$M14)</f>
        <v>35968</v>
      </c>
      <c r="T259" s="20" t="s">
        <v>109</v>
      </c>
    </row>
    <row r="260" spans="2:20" ht="15.75" hidden="1" outlineLevel="1" x14ac:dyDescent="0.3">
      <c r="B260" s="17"/>
      <c r="C260" s="17" t="s">
        <v>77</v>
      </c>
      <c r="D260" s="17" t="s">
        <v>35</v>
      </c>
      <c r="E260" s="17"/>
      <c r="F260" s="44">
        <f>IF(NOT(ISBLANK('Referenz Pflasterwerk'!$I29)),'Referenz Pflasterwerk'!$I29,'Referenz Pflasterwerk'!$F29)*IF(NOT(ISBLANK('Eingabe EF'!$AS15)),'Eingabe EF'!$AS15,'Eingabe EF'!$AQ15)</f>
        <v>10.632342239999998</v>
      </c>
      <c r="G260" s="44">
        <f>IF(NOT(ISBLANK('Referenz Pflasterwerk'!$I29)),'Referenz Pflasterwerk'!$I29,'Referenz Pflasterwerk'!$F29)*IF(NOT(ISBLANK('Eingabe EF'!$AW15)),'Eingabe EF'!$AW15,'Eingabe EF'!$AU15)</f>
        <v>0</v>
      </c>
      <c r="H260" s="44">
        <f>IF(NOT(ISBLANK('Referenz Pflasterwerk'!$I29)),'Referenz Pflasterwerk'!$I29,'Referenz Pflasterwerk'!$F29)*IF(NOT(ISBLANK('Eingabe EF'!$BA15)),'Eingabe EF'!$BA15,'Eingabe EF'!$AY15)</f>
        <v>1.8784958400000002</v>
      </c>
      <c r="I260" s="17"/>
      <c r="J260" s="38">
        <f t="shared" si="51"/>
        <v>10.632342239999998</v>
      </c>
      <c r="K260" s="38">
        <f t="shared" si="52"/>
        <v>12.510838079999999</v>
      </c>
      <c r="L260" s="17" t="s">
        <v>199</v>
      </c>
      <c r="N260" s="17"/>
      <c r="O260" s="17" t="s">
        <v>35</v>
      </c>
      <c r="P260" s="17" t="s">
        <v>77</v>
      </c>
      <c r="Q260" s="30"/>
      <c r="R260" s="17"/>
      <c r="S260" s="42">
        <f>IF(NOT(ISBLANK('Referenz Pflasterwerk'!$I29)),'Referenz Pflasterwerk'!$I29,'Referenz Pflasterwerk'!$F29)*IF(NOT(ISBLANK('Eingabe Preise'!$O14)),'Eingabe Preise'!$O14,'Eingabe Preise'!$M14)</f>
        <v>4496</v>
      </c>
      <c r="T260" s="20" t="s">
        <v>109</v>
      </c>
    </row>
    <row r="261" spans="2:20" ht="14.25" hidden="1" outlineLevel="1" x14ac:dyDescent="0.25">
      <c r="B261" s="69"/>
      <c r="C261" s="69" t="s">
        <v>190</v>
      </c>
      <c r="D261" s="69"/>
      <c r="E261" s="69"/>
      <c r="F261" s="71">
        <f>F262+F263</f>
        <v>0</v>
      </c>
      <c r="G261" s="71">
        <f t="shared" ref="G261:H261" si="53">G262+G263</f>
        <v>0</v>
      </c>
      <c r="H261" s="71">
        <f t="shared" si="53"/>
        <v>578.62626120000004</v>
      </c>
      <c r="I261" s="69"/>
      <c r="J261" s="71">
        <f t="shared" si="51"/>
        <v>0</v>
      </c>
      <c r="K261" s="71">
        <f t="shared" si="52"/>
        <v>578.62626120000004</v>
      </c>
      <c r="L261" s="76" t="s">
        <v>198</v>
      </c>
      <c r="N261" s="17"/>
      <c r="O261" s="17"/>
      <c r="P261" s="17"/>
      <c r="Q261" s="30"/>
      <c r="R261" s="17"/>
      <c r="S261" s="17"/>
      <c r="T261" s="17"/>
    </row>
    <row r="262" spans="2:20" ht="15.75" hidden="1" outlineLevel="1" x14ac:dyDescent="0.3">
      <c r="B262" s="17"/>
      <c r="C262" s="17"/>
      <c r="D262" s="17" t="s">
        <v>46</v>
      </c>
      <c r="E262" s="17"/>
      <c r="F262" s="44">
        <f>IF(NOT(ISBLANK('Referenz Pflasterwerk'!$I32)),'Referenz Pflasterwerk'!$I32,'Referenz Pflasterwerk'!$F32)*IF(NOT(ISBLANK('Eingabe EF'!$AS17)),'Eingabe EF'!$AS17,'Eingabe EF'!$AQ17)</f>
        <v>0</v>
      </c>
      <c r="G262" s="44">
        <f>IF(NOT(ISBLANK('Referenz Pflasterwerk'!$I32)),'Referenz Pflasterwerk'!$I32,'Referenz Pflasterwerk'!$F32)*IF(NOT(ISBLANK('Eingabe EF'!$AW17)),'Eingabe EF'!$AW17,'Eingabe EF'!$AU17)</f>
        <v>0</v>
      </c>
      <c r="H262" s="44">
        <f>IF(NOT(ISBLANK('Referenz Pflasterwerk'!$I32)),'Referenz Pflasterwerk'!$I32,'Referenz Pflasterwerk'!$F32)*IF(NOT(ISBLANK('Eingabe EF'!$BA17)),'Eingabe EF'!$BA17,'Eingabe EF'!$AY17)</f>
        <v>250.21676159999998</v>
      </c>
      <c r="I262" s="17"/>
      <c r="J262" s="38">
        <f t="shared" si="49"/>
        <v>0</v>
      </c>
      <c r="K262" s="38">
        <f t="shared" si="50"/>
        <v>250.21676159999998</v>
      </c>
      <c r="L262" s="17" t="s">
        <v>199</v>
      </c>
      <c r="N262" s="17"/>
      <c r="O262" s="17"/>
      <c r="P262" s="17"/>
      <c r="Q262" s="30"/>
      <c r="R262" s="17"/>
      <c r="S262" s="17"/>
      <c r="T262" s="17"/>
    </row>
    <row r="263" spans="2:20" ht="15.75" hidden="1" outlineLevel="1" x14ac:dyDescent="0.3">
      <c r="B263" s="17"/>
      <c r="C263" s="17"/>
      <c r="D263" s="17" t="s">
        <v>47</v>
      </c>
      <c r="E263" s="17"/>
      <c r="F263" s="44">
        <f>IF(NOT(ISBLANK('Referenz Pflasterwerk'!$I33)),'Referenz Pflasterwerk'!$I33,'Referenz Pflasterwerk'!$F33)*IF(NOT(ISBLANK('Eingabe EF'!$AS18)),'Eingabe EF'!$AS18,'Eingabe EF'!$AQ18)</f>
        <v>0</v>
      </c>
      <c r="G263" s="44">
        <f>IF(NOT(ISBLANK('Referenz Pflasterwerk'!$I33)),'Referenz Pflasterwerk'!$I33,'Referenz Pflasterwerk'!$F33)*IF(NOT(ISBLANK('Eingabe EF'!$AW18)),'Eingabe EF'!$AW18,'Eingabe EF'!$AU18)</f>
        <v>0</v>
      </c>
      <c r="H263" s="44">
        <f>IF(NOT(ISBLANK('Referenz Pflasterwerk'!$I33)),'Referenz Pflasterwerk'!$I33,'Referenz Pflasterwerk'!$F33)*IF(NOT(ISBLANK('Eingabe EF'!$BA18)),'Eingabe EF'!$BA18,'Eingabe EF'!$AY18)</f>
        <v>328.4094996</v>
      </c>
      <c r="I263" s="17"/>
      <c r="J263" s="38">
        <f t="shared" si="49"/>
        <v>0</v>
      </c>
      <c r="K263" s="38">
        <f t="shared" si="50"/>
        <v>328.4094996</v>
      </c>
      <c r="L263" s="17" t="s">
        <v>199</v>
      </c>
      <c r="N263" s="17"/>
      <c r="O263" s="17" t="s">
        <v>31</v>
      </c>
      <c r="P263" s="17"/>
      <c r="Q263" s="30"/>
      <c r="R263" s="17"/>
      <c r="S263" s="42">
        <f>S275+S276</f>
        <v>0</v>
      </c>
      <c r="T263" s="20" t="s">
        <v>109</v>
      </c>
    </row>
    <row r="264" spans="2:20" hidden="1" outlineLevel="1" x14ac:dyDescent="0.2">
      <c r="B264" s="17"/>
      <c r="C264" s="17"/>
      <c r="D264" s="17"/>
      <c r="E264" s="17"/>
      <c r="F264" s="20"/>
      <c r="G264" s="20"/>
      <c r="H264" s="20"/>
      <c r="I264" s="17"/>
      <c r="J264" s="20"/>
      <c r="K264" s="20"/>
      <c r="L264" s="17"/>
      <c r="N264" s="17"/>
      <c r="O264" s="45" t="s">
        <v>155</v>
      </c>
      <c r="P264" s="17"/>
      <c r="Q264" s="30"/>
      <c r="R264" s="17"/>
      <c r="S264" s="42">
        <f>IF(NOT(ISBLANK($K$32)),$K$32,$I$32)</f>
        <v>0</v>
      </c>
      <c r="T264" s="20" t="s">
        <v>109</v>
      </c>
    </row>
    <row r="265" spans="2:20" ht="14.25" hidden="1" outlineLevel="1" x14ac:dyDescent="0.25">
      <c r="B265" s="69"/>
      <c r="C265" s="69" t="s">
        <v>69</v>
      </c>
      <c r="D265" s="70"/>
      <c r="E265" s="70"/>
      <c r="F265" s="71">
        <f>SUM(F266:F269)</f>
        <v>0</v>
      </c>
      <c r="G265" s="71">
        <f t="shared" ref="G265" si="54">SUM(G266:G269)</f>
        <v>0</v>
      </c>
      <c r="H265" s="71">
        <f>SUM(H266:H269)</f>
        <v>7683.24</v>
      </c>
      <c r="I265" s="70"/>
      <c r="J265" s="71">
        <f t="shared" ref="J265:J269" si="55">F265+G265</f>
        <v>0</v>
      </c>
      <c r="K265" s="71">
        <f t="shared" ref="K265" si="56">SUM(F265:H265)</f>
        <v>7683.24</v>
      </c>
      <c r="L265" s="76" t="s">
        <v>198</v>
      </c>
      <c r="N265" s="17"/>
      <c r="O265" s="45" t="s">
        <v>162</v>
      </c>
      <c r="P265" s="17"/>
      <c r="Q265" s="30"/>
      <c r="R265" s="17"/>
      <c r="S265" s="42">
        <f>S278+S279</f>
        <v>0</v>
      </c>
      <c r="T265" s="20" t="s">
        <v>109</v>
      </c>
    </row>
    <row r="266" spans="2:20" ht="15.75" hidden="1" outlineLevel="1" x14ac:dyDescent="0.3">
      <c r="B266" s="302"/>
      <c r="C266" s="17"/>
      <c r="D266" s="17" t="s">
        <v>48</v>
      </c>
      <c r="E266" s="17"/>
      <c r="F266" s="38">
        <f>E236*IF(NOT(ISBLANK('Referenz Pflasterwerk'!$I36)),'Referenz Pflasterwerk'!$I36,'Referenz Pflasterwerk'!$F36)*IF(NOT(ISBLANK('Eingabe EF'!$AS21)),'Eingabe EF'!$AS21,'Eingabe EF'!$AQ21)*IF(NOT(ISBLANK('Referenz Pflasterwerk'!$I$12)),'Referenz Pflasterwerk'!$I$12,'Referenz Pflasterwerk'!$F$12)</f>
        <v>0</v>
      </c>
      <c r="G266" s="38">
        <f>E236*IF(NOT(ISBLANK('Referenz Pflasterwerk'!$I36)),'Referenz Pflasterwerk'!$I36,'Referenz Pflasterwerk'!$F36)*IF(NOT(ISBLANK('Eingabe EF'!$AW21)),'Eingabe EF'!$AW21,'Eingabe EF'!$AU21)*IF(NOT(ISBLANK('Referenz Pflasterwerk'!$I$12)),'Referenz Pflasterwerk'!$I$12,'Referenz Pflasterwerk'!$F$12)</f>
        <v>0</v>
      </c>
      <c r="H266" s="38">
        <f>IF(NOT(ISBLANK('Referenz Pflasterwerk'!$I36)),'Referenz Pflasterwerk'!$I36,'Referenz Pflasterwerk'!$F36)*IF(NOT(ISBLANK('Eingabe EF'!$BA21)),'Eingabe EF'!$BA21,'Eingabe EF'!$AY21)*IF(NOT(ISBLANK('Referenz Pflasterwerk'!$I$12)),'Referenz Pflasterwerk'!$I$12,'Referenz Pflasterwerk'!$F$12)</f>
        <v>2144.625</v>
      </c>
      <c r="I266" s="17"/>
      <c r="J266" s="38">
        <f t="shared" si="55"/>
        <v>0</v>
      </c>
      <c r="K266" s="38">
        <f t="shared" ref="K266:K269" si="57">SUM(F266:H266)</f>
        <v>2144.625</v>
      </c>
      <c r="L266" s="17" t="s">
        <v>199</v>
      </c>
      <c r="N266" s="17"/>
      <c r="O266" s="17"/>
      <c r="P266" s="17"/>
      <c r="Q266" s="17"/>
      <c r="R266" s="17"/>
      <c r="S266" s="17"/>
      <c r="T266" s="17"/>
    </row>
    <row r="267" spans="2:20" ht="15.75" hidden="1" outlineLevel="1" x14ac:dyDescent="0.3">
      <c r="B267" s="302"/>
      <c r="C267" s="17"/>
      <c r="D267" s="17" t="s">
        <v>50</v>
      </c>
      <c r="E267" s="17"/>
      <c r="F267" s="38">
        <f>E237*IF(NOT(ISBLANK('Referenz Pflasterwerk'!$I37)),'Referenz Pflasterwerk'!$I37,'Referenz Pflasterwerk'!$F37)*IF(NOT(ISBLANK('Eingabe EF'!$AS22)),'Eingabe EF'!$AS22,'Eingabe EF'!$AQ22)*IF(NOT(ISBLANK('Referenz Pflasterwerk'!$I$12)),'Referenz Pflasterwerk'!$I$12,'Referenz Pflasterwerk'!$F$12)</f>
        <v>0</v>
      </c>
      <c r="G267" s="38">
        <f>E237*IF(NOT(ISBLANK('Referenz Pflasterwerk'!$I37)),'Referenz Pflasterwerk'!$I37,'Referenz Pflasterwerk'!$F37)*IF(NOT(ISBLANK('Eingabe EF'!$AW22)),'Eingabe EF'!$AW22,'Eingabe EF'!$AU22)*IF(NOT(ISBLANK('Referenz Pflasterwerk'!$I$12)),'Referenz Pflasterwerk'!$I$12,'Referenz Pflasterwerk'!$F$12)</f>
        <v>0</v>
      </c>
      <c r="H267" s="38">
        <f>IF(NOT(ISBLANK('Referenz Pflasterwerk'!$I37)),'Referenz Pflasterwerk'!$I37,'Referenz Pflasterwerk'!$F37)*IF(NOT(ISBLANK('Eingabe EF'!$BA22)),'Eingabe EF'!$BA22,'Eingabe EF'!$AY22)*IF(NOT(ISBLANK('Referenz Pflasterwerk'!$I$12)),'Referenz Pflasterwerk'!$I$12,'Referenz Pflasterwerk'!$F$12)</f>
        <v>4993.59</v>
      </c>
      <c r="I267" s="17"/>
      <c r="J267" s="38">
        <f t="shared" si="55"/>
        <v>0</v>
      </c>
      <c r="K267" s="38">
        <f t="shared" si="57"/>
        <v>4993.59</v>
      </c>
      <c r="L267" s="17" t="s">
        <v>199</v>
      </c>
      <c r="N267" s="17"/>
      <c r="O267" s="17"/>
      <c r="P267" s="17"/>
      <c r="Q267" s="17"/>
      <c r="R267" s="17"/>
      <c r="S267" s="17"/>
      <c r="T267" s="17"/>
    </row>
    <row r="268" spans="2:20" ht="15.75" hidden="1" outlineLevel="1" x14ac:dyDescent="0.3">
      <c r="B268" s="302"/>
      <c r="C268" s="17"/>
      <c r="D268" s="17" t="s">
        <v>51</v>
      </c>
      <c r="E268" s="17"/>
      <c r="F268" s="38">
        <f>E238*IF(NOT(ISBLANK('Referenz Pflasterwerk'!$I38)),'Referenz Pflasterwerk'!$I38,'Referenz Pflasterwerk'!$F38)*IF(NOT(ISBLANK('Eingabe EF'!$AS23)),'Eingabe EF'!$AS23,'Eingabe EF'!$AQ23)*IF(NOT(ISBLANK('Referenz Pflasterwerk'!$I$12)),'Referenz Pflasterwerk'!$I$12,'Referenz Pflasterwerk'!$F$12)</f>
        <v>0</v>
      </c>
      <c r="G268" s="38">
        <f>E238*IF(NOT(ISBLANK('Referenz Pflasterwerk'!$I38)),'Referenz Pflasterwerk'!$I38,'Referenz Pflasterwerk'!$F38)*IF(NOT(ISBLANK('Eingabe EF'!$AW23)),'Eingabe EF'!$AW23,'Eingabe EF'!$AU23)*IF(NOT(ISBLANK('Referenz Pflasterwerk'!$I$12)),'Referenz Pflasterwerk'!$I$12,'Referenz Pflasterwerk'!$F$12)</f>
        <v>0</v>
      </c>
      <c r="H268" s="38">
        <f>IF(NOT(ISBLANK('Referenz Pflasterwerk'!$I38)),'Referenz Pflasterwerk'!$I38,'Referenz Pflasterwerk'!$F38)*IF(NOT(ISBLANK('Eingabe EF'!$BA23)),'Eingabe EF'!$BA23,'Eingabe EF'!$AY23)*IF(NOT(ISBLANK('Referenz Pflasterwerk'!$I$12)),'Referenz Pflasterwerk'!$I$12,'Referenz Pflasterwerk'!$F$12)</f>
        <v>545.02499999999998</v>
      </c>
      <c r="I268" s="17"/>
      <c r="J268" s="38">
        <f t="shared" si="55"/>
        <v>0</v>
      </c>
      <c r="K268" s="38">
        <f t="shared" si="57"/>
        <v>545.02499999999998</v>
      </c>
      <c r="L268" s="17" t="s">
        <v>199</v>
      </c>
      <c r="N268" s="17"/>
      <c r="O268" s="17" t="s">
        <v>201</v>
      </c>
      <c r="P268" s="17"/>
      <c r="Q268" s="30"/>
      <c r="R268" s="17"/>
      <c r="S268" s="42">
        <f>F309*IF(NOT(ISBLANK('Eingabe Preise'!$O21)),'Eingabe Preise'!$O21,'Eingabe Preise'!$M21)</f>
        <v>8528.0704127999998</v>
      </c>
      <c r="T268" s="20" t="s">
        <v>109</v>
      </c>
    </row>
    <row r="269" spans="2:20" ht="15.75" hidden="1" outlineLevel="1" x14ac:dyDescent="0.3">
      <c r="B269" s="302"/>
      <c r="C269" s="17"/>
      <c r="D269" s="17" t="s">
        <v>163</v>
      </c>
      <c r="E269" s="17"/>
      <c r="F269" s="38">
        <f>E239*IF(NOT(ISBLANK('Referenz Pflasterwerk'!$I39)),'Referenz Pflasterwerk'!$I39,'Referenz Pflasterwerk'!$F39)*IF(NOT(ISBLANK('Eingabe EF'!$AS24)),'Eingabe EF'!$AS24,0)*IF(NOT(ISBLANK('Referenz Pflasterwerk'!$I$12)),'Referenz Pflasterwerk'!$I$12,'Referenz Pflasterwerk'!$F$12)</f>
        <v>0</v>
      </c>
      <c r="G269" s="38">
        <f>E239*IF(NOT(ISBLANK('Referenz Pflasterwerk'!$I39)),'Referenz Pflasterwerk'!$I39,'Referenz Pflasterwerk'!$F39)*IF(NOT(ISBLANK('Eingabe EF'!$AW24)),'Eingabe EF'!$AW24,0)*IF(NOT(ISBLANK('Referenz Pflasterwerk'!$I$12)),'Referenz Pflasterwerk'!$I$12,'Referenz Pflasterwerk'!$F$12)</f>
        <v>0</v>
      </c>
      <c r="H269" s="38">
        <f>IF(NOT(ISBLANK('Referenz Pflasterwerk'!$I39)),'Referenz Pflasterwerk'!$I39,'Referenz Pflasterwerk'!$F39)*IF(NOT(ISBLANK('Eingabe EF'!$BA24)),'Eingabe EF'!$BA24,0)*IF(NOT(ISBLANK('Referenz Pflasterwerk'!$I$12)),'Referenz Pflasterwerk'!$I$12,'Referenz Pflasterwerk'!$F$12)</f>
        <v>0</v>
      </c>
      <c r="I269" s="17"/>
      <c r="J269" s="38">
        <f t="shared" si="55"/>
        <v>0</v>
      </c>
      <c r="K269" s="38">
        <f t="shared" si="57"/>
        <v>0</v>
      </c>
      <c r="L269" s="17" t="s">
        <v>199</v>
      </c>
      <c r="N269" s="17"/>
      <c r="O269" s="17" t="s">
        <v>202</v>
      </c>
      <c r="P269" s="17"/>
      <c r="Q269" s="30"/>
      <c r="R269" s="17"/>
      <c r="S269" s="42">
        <f>G309*IF(NOT(ISBLANK('Eingabe Preise'!$O22)),'Eingabe Preise'!$O22,'Eingabe Preise'!$M22)</f>
        <v>8207.0073128147415</v>
      </c>
      <c r="T269" s="20" t="s">
        <v>109</v>
      </c>
    </row>
    <row r="270" spans="2:20" ht="15.75" hidden="1" outlineLevel="1" x14ac:dyDescent="0.3">
      <c r="B270" s="17"/>
      <c r="C270" s="17"/>
      <c r="D270" s="17"/>
      <c r="E270" s="17"/>
      <c r="F270" s="17"/>
      <c r="G270" s="17"/>
      <c r="H270" s="17"/>
      <c r="I270" s="17"/>
      <c r="J270" s="20"/>
      <c r="K270" s="20"/>
      <c r="L270" s="17"/>
      <c r="N270" s="17"/>
      <c r="O270" s="17" t="s">
        <v>203</v>
      </c>
      <c r="P270" s="17"/>
      <c r="Q270" s="30"/>
      <c r="R270" s="17"/>
      <c r="S270" s="42">
        <f>H309*IF(NOT(ISBLANK('Eingabe Preise'!$O23)),'Eingabe Preise'!$O23,'Eingabe Preise'!$M23)</f>
        <v>839492.95832663588</v>
      </c>
      <c r="T270" s="20" t="s">
        <v>109</v>
      </c>
    </row>
    <row r="271" spans="2:20" ht="14.25" hidden="1" outlineLevel="1" x14ac:dyDescent="0.25">
      <c r="B271" s="69"/>
      <c r="C271" s="69" t="s">
        <v>178</v>
      </c>
      <c r="D271" s="70"/>
      <c r="E271" s="70"/>
      <c r="F271" s="71">
        <f>SUM(F272:F274)</f>
        <v>0</v>
      </c>
      <c r="G271" s="71">
        <f t="shared" ref="G271:H271" si="58">SUM(G272:G274)</f>
        <v>0</v>
      </c>
      <c r="H271" s="71">
        <f t="shared" si="58"/>
        <v>387.03000000000003</v>
      </c>
      <c r="I271" s="70"/>
      <c r="J271" s="71">
        <f t="shared" ref="J271" si="59">F271+G271</f>
        <v>0</v>
      </c>
      <c r="K271" s="71">
        <f t="shared" ref="K271" si="60">SUM(F271:H271)</f>
        <v>387.03000000000003</v>
      </c>
      <c r="L271" s="76" t="s">
        <v>198</v>
      </c>
      <c r="N271" s="17"/>
      <c r="O271" s="17"/>
      <c r="P271" s="17"/>
      <c r="Q271" s="17"/>
      <c r="R271" s="17"/>
      <c r="S271" s="17"/>
      <c r="T271" s="17"/>
    </row>
    <row r="272" spans="2:20" ht="15.75" hidden="1" outlineLevel="1" x14ac:dyDescent="0.3">
      <c r="B272" s="17"/>
      <c r="C272" s="17"/>
      <c r="D272" s="17" t="s">
        <v>179</v>
      </c>
      <c r="E272" s="17"/>
      <c r="F272" s="38">
        <f>IF(NOT(ISBLANK('Referenz Pflasterwerk'!$I42)),'Referenz Pflasterwerk'!$I42,'Referenz Pflasterwerk'!$F42)*IF(NOT(ISBLANK('Eingabe EF'!$AS27)),'Eingabe EF'!$AS27,'Eingabe EF'!$AQ27)*IF(NOT(ISBLANK('Referenz Pflasterwerk'!$I$12)),'Referenz Pflasterwerk'!$I$12,'Referenz Pflasterwerk'!$F$12)</f>
        <v>0</v>
      </c>
      <c r="G272" s="38">
        <f>IF(NOT(ISBLANK('Referenz Pflasterwerk'!$I42)),'Referenz Pflasterwerk'!$I42,'Referenz Pflasterwerk'!$F42)*IF(NOT(ISBLANK('Eingabe EF'!$AW27)),'Eingabe EF'!$AW27,'Eingabe EF'!$AU27)*IF(NOT(ISBLANK('Referenz Pflasterwerk'!$I$12)),'Referenz Pflasterwerk'!$I$12,'Referenz Pflasterwerk'!$F$12)</f>
        <v>0</v>
      </c>
      <c r="H272" s="38">
        <f>$E$236*IF(NOT(ISBLANK('Referenz Pflasterwerk'!$I42)),'Referenz Pflasterwerk'!$I42,'Referenz Pflasterwerk'!$F42)*IF(NOT(ISBLANK('Eingabe EF'!$BA27)),'Eingabe EF'!$BA27,'Eingabe EF'!$AY27)*IF(NOT(ISBLANK('Referenz Pflasterwerk'!$I$12)),'Referenz Pflasterwerk'!$I$12,'Referenz Pflasterwerk'!$F$12)</f>
        <v>387.03000000000003</v>
      </c>
      <c r="I272" s="17"/>
      <c r="J272" s="38">
        <f>F272+G272</f>
        <v>0</v>
      </c>
      <c r="K272" s="38">
        <f>SUM(F272:H272)</f>
        <v>387.03000000000003</v>
      </c>
      <c r="L272" s="17" t="s">
        <v>199</v>
      </c>
      <c r="N272" s="17"/>
      <c r="O272" s="17"/>
      <c r="P272" s="17"/>
      <c r="Q272" s="17"/>
      <c r="R272" s="17"/>
      <c r="S272" s="17"/>
      <c r="T272" s="17"/>
    </row>
    <row r="273" spans="2:20" ht="15.75" hidden="1" outlineLevel="1" x14ac:dyDescent="0.3">
      <c r="B273" s="17"/>
      <c r="C273" s="17"/>
      <c r="D273" s="17" t="s">
        <v>180</v>
      </c>
      <c r="E273" s="17"/>
      <c r="F273" s="38">
        <f>IF(NOT(ISBLANK('Referenz Pflasterwerk'!$I43)),'Referenz Pflasterwerk'!$I43,'Referenz Pflasterwerk'!$F43)*IF(NOT(ISBLANK('Eingabe EF'!$AS28)),'Eingabe EF'!$AS28,0)*IF(NOT(ISBLANK('Referenz Pflasterwerk'!$I$12)),'Referenz Pflasterwerk'!$I$12,'Referenz Pflasterwerk'!$F$12)</f>
        <v>0</v>
      </c>
      <c r="G273" s="38">
        <f>IF(NOT(ISBLANK('Referenz Pflasterwerk'!$I43)),'Referenz Pflasterwerk'!$I43,'Referenz Pflasterwerk'!$F43)*IF(NOT(ISBLANK('Eingabe EF'!$AW28)),'Eingabe EF'!$AW28,0)*IF(NOT(ISBLANK('Referenz Pflasterwerk'!$I$12)),'Referenz Pflasterwerk'!$I$12,'Referenz Pflasterwerk'!$F$12)</f>
        <v>0</v>
      </c>
      <c r="H273" s="38">
        <f>$E$237*IF(NOT(ISBLANK('Referenz Pflasterwerk'!$I43)),'Referenz Pflasterwerk'!$I43,'Referenz Pflasterwerk'!$F43)*IF(NOT(ISBLANK('Eingabe EF'!$BA28)),'Eingabe EF'!$BA28,0)*IF(NOT(ISBLANK('Referenz Pflasterwerk'!$I$12)),'Referenz Pflasterwerk'!$I$12,'Referenz Pflasterwerk'!$F$12)</f>
        <v>0</v>
      </c>
      <c r="I273" s="17"/>
      <c r="J273" s="38">
        <f>F273+G273</f>
        <v>0</v>
      </c>
      <c r="K273" s="38">
        <f t="shared" ref="K273:K274" si="61">SUM(F273:H273)</f>
        <v>0</v>
      </c>
      <c r="L273" s="17" t="s">
        <v>199</v>
      </c>
      <c r="N273" s="17"/>
      <c r="O273" s="17"/>
      <c r="P273" s="17"/>
      <c r="Q273" s="18"/>
      <c r="R273" s="17"/>
      <c r="S273" s="18"/>
      <c r="T273" s="18"/>
    </row>
    <row r="274" spans="2:20" ht="15.75" hidden="1" outlineLevel="1" x14ac:dyDescent="0.3">
      <c r="B274" s="17"/>
      <c r="C274" s="17"/>
      <c r="D274" s="17" t="s">
        <v>181</v>
      </c>
      <c r="E274" s="17"/>
      <c r="F274" s="38">
        <f>IF(NOT(ISBLANK('Referenz Pflasterwerk'!$I44)),'Referenz Pflasterwerk'!$I44,'Referenz Pflasterwerk'!$F44)*IF(NOT(ISBLANK('Eingabe EF'!$AS29)),'Eingabe EF'!$AS29,0)*IF(NOT(ISBLANK('Referenz Pflasterwerk'!$I$12)),'Referenz Pflasterwerk'!$I$12,'Referenz Pflasterwerk'!$F$12)</f>
        <v>0</v>
      </c>
      <c r="G274" s="38">
        <f>IF(NOT(ISBLANK('Referenz Pflasterwerk'!$I44)),'Referenz Pflasterwerk'!$I44,'Referenz Pflasterwerk'!$F44)*IF(NOT(ISBLANK('Eingabe EF'!$AW29)),'Eingabe EF'!$AW29,0)*IF(NOT(ISBLANK('Referenz Pflasterwerk'!$I$12)),'Referenz Pflasterwerk'!$I$12,'Referenz Pflasterwerk'!$F$12)</f>
        <v>0</v>
      </c>
      <c r="H274" s="38">
        <f>$E$238*IF(NOT(ISBLANK('Referenz Pflasterwerk'!$I44)),'Referenz Pflasterwerk'!$I44,'Referenz Pflasterwerk'!$F44)*IF(NOT(ISBLANK('Eingabe EF'!$BA29)),'Eingabe EF'!$BA29,0)*IF(NOT(ISBLANK('Referenz Pflasterwerk'!$I$12)),'Referenz Pflasterwerk'!$I$12,'Referenz Pflasterwerk'!$F$12)</f>
        <v>0</v>
      </c>
      <c r="I274" s="17"/>
      <c r="J274" s="38">
        <f t="shared" ref="J274" si="62">F274+G274</f>
        <v>0</v>
      </c>
      <c r="K274" s="38">
        <f t="shared" si="61"/>
        <v>0</v>
      </c>
      <c r="L274" s="17" t="s">
        <v>199</v>
      </c>
      <c r="N274" s="21" t="s">
        <v>224</v>
      </c>
      <c r="O274" s="17"/>
      <c r="P274" s="17"/>
      <c r="Q274" s="17"/>
      <c r="R274" s="17"/>
      <c r="S274" s="17"/>
      <c r="T274" s="17"/>
    </row>
    <row r="275" spans="2:20" hidden="1" outlineLevel="1" x14ac:dyDescent="0.2">
      <c r="B275" s="17"/>
      <c r="C275" s="17"/>
      <c r="D275" s="17"/>
      <c r="E275" s="17"/>
      <c r="F275" s="17"/>
      <c r="G275" s="17"/>
      <c r="H275" s="17"/>
      <c r="I275" s="17"/>
      <c r="J275" s="20"/>
      <c r="K275" s="20"/>
      <c r="L275" s="17"/>
      <c r="N275" s="17"/>
      <c r="O275" s="17" t="s">
        <v>225</v>
      </c>
      <c r="P275" s="17"/>
      <c r="Q275" s="18"/>
      <c r="R275" s="17"/>
      <c r="S275" s="42">
        <f>IF(IF(NOT(ISBLANK($G$36)),$G$36,$E$36)&gt;5,S184,0)</f>
        <v>0</v>
      </c>
      <c r="T275" s="20" t="s">
        <v>109</v>
      </c>
    </row>
    <row r="276" spans="2:20" ht="14.25" hidden="1" outlineLevel="1" x14ac:dyDescent="0.25">
      <c r="B276" s="17"/>
      <c r="C276" s="17"/>
      <c r="D276" s="21" t="s">
        <v>58</v>
      </c>
      <c r="E276" s="21"/>
      <c r="F276" s="74">
        <f>IF(NOT(ISBLANK('Referenz Pflasterwerk'!$I46)),'Referenz Pflasterwerk'!$I46,'Referenz Pflasterwerk'!$F46)*IF(NOT(ISBLANK('Eingabe EF'!$AS31)),'Eingabe EF'!$AS31,'Eingabe EF'!$AQ31)*IF(NOT(ISBLANK('Referenz Pflasterwerk'!$I$12)),'Referenz Pflasterwerk'!$I$12,'Referenz Pflasterwerk'!$F$12)</f>
        <v>0</v>
      </c>
      <c r="G276" s="74">
        <f>IF(NOT(ISBLANK('Referenz Pflasterwerk'!$I46)),'Referenz Pflasterwerk'!$I46,'Referenz Pflasterwerk'!$F46)*IF(NOT(ISBLANK('Eingabe EF'!$AW31)),'Eingabe EF'!$AW31,'Eingabe EF'!$AU31)*IF(NOT(ISBLANK('Referenz Pflasterwerk'!$I$12)),'Referenz Pflasterwerk'!$I$12,'Referenz Pflasterwerk'!$F$12)</f>
        <v>0</v>
      </c>
      <c r="H276" s="74">
        <f>IF(NOT(ISBLANK('Referenz Pflasterwerk'!$I46)),'Referenz Pflasterwerk'!$I46,'Referenz Pflasterwerk'!$F46)*IF(NOT(ISBLANK('Eingabe EF'!$BA31)),'Eingabe EF'!$BA31,'Eingabe EF'!$AY31)*IF(NOT(ISBLANK('Referenz Pflasterwerk'!$I$12)),'Referenz Pflasterwerk'!$I$12,'Referenz Pflasterwerk'!$F$12)</f>
        <v>1040</v>
      </c>
      <c r="I276" s="21"/>
      <c r="J276" s="74">
        <f>F276+G276</f>
        <v>0</v>
      </c>
      <c r="K276" s="74">
        <f t="shared" ref="K276" si="63">SUM(F276:H276)</f>
        <v>1040</v>
      </c>
      <c r="L276" s="21" t="s">
        <v>198</v>
      </c>
      <c r="N276" s="17"/>
      <c r="O276" s="17" t="s">
        <v>226</v>
      </c>
      <c r="P276" s="17"/>
      <c r="Q276" s="17"/>
      <c r="R276" s="17"/>
      <c r="S276" s="42">
        <f>IF(NOT(ISBLANK($K$31)),$K$31,$I$31)/IF(NOT(ISBLANK($K$36)),$K$36,$I$36)+IF(NOT(ISBLANK($K$31)),$K$31,$I$31)*(IF(NOT(ISBLANK($K$37)),$K$37,$I$37)/100)</f>
        <v>0</v>
      </c>
      <c r="T276" s="20" t="s">
        <v>109</v>
      </c>
    </row>
    <row r="277" spans="2:20" hidden="1" outlineLevel="1" x14ac:dyDescent="0.2">
      <c r="B277" s="17"/>
      <c r="C277" s="17"/>
      <c r="D277" s="17"/>
      <c r="E277" s="17"/>
      <c r="F277" s="17"/>
      <c r="G277" s="17"/>
      <c r="H277" s="17"/>
      <c r="I277" s="17"/>
      <c r="J277" s="20"/>
      <c r="K277" s="20"/>
      <c r="L277" s="17"/>
      <c r="N277" s="17"/>
      <c r="O277" s="17"/>
      <c r="P277" s="17"/>
      <c r="Q277" s="18"/>
      <c r="R277" s="17"/>
      <c r="S277" s="18"/>
      <c r="T277" s="18"/>
    </row>
    <row r="278" spans="2:20" ht="14.25" hidden="1" outlineLevel="1" x14ac:dyDescent="0.25">
      <c r="B278" s="69"/>
      <c r="C278" s="69" t="s">
        <v>182</v>
      </c>
      <c r="D278" s="70"/>
      <c r="E278" s="70"/>
      <c r="F278" s="71">
        <f>SUM(F279:F281)</f>
        <v>0</v>
      </c>
      <c r="G278" s="71">
        <f t="shared" ref="G278:H278" si="64">SUM(G279:G281)</f>
        <v>0</v>
      </c>
      <c r="H278" s="71">
        <f t="shared" si="64"/>
        <v>424.19999999999993</v>
      </c>
      <c r="I278" s="70"/>
      <c r="J278" s="71">
        <f t="shared" ref="J278" si="65">F278+G278</f>
        <v>0</v>
      </c>
      <c r="K278" s="71">
        <f t="shared" ref="K278" si="66">SUM(F278:H278)</f>
        <v>424.19999999999993</v>
      </c>
      <c r="L278" s="76" t="s">
        <v>198</v>
      </c>
      <c r="N278" s="17"/>
      <c r="O278" s="17" t="s">
        <v>228</v>
      </c>
      <c r="P278" s="17"/>
      <c r="Q278" s="17"/>
      <c r="R278" s="17"/>
      <c r="S278" s="42">
        <f>IF(IF(NOT(ISBLANK($G$36)),$G$36,$E$36)&gt;5,S186,0)</f>
        <v>0</v>
      </c>
      <c r="T278" s="20" t="s">
        <v>109</v>
      </c>
    </row>
    <row r="279" spans="2:20" ht="15.75" hidden="1" outlineLevel="1" x14ac:dyDescent="0.3">
      <c r="B279" s="17"/>
      <c r="C279" s="17"/>
      <c r="D279" s="17" t="s">
        <v>60</v>
      </c>
      <c r="E279" s="17"/>
      <c r="F279" s="38">
        <f>IF(NOT(ISBLANK('Referenz Pflasterwerk'!$I49)),'Referenz Pflasterwerk'!$I49,'Referenz Pflasterwerk'!$F49)*IF(NOT(ISBLANK('Eingabe EF'!$AS34)),'Eingabe EF'!$AS34,'Eingabe EF'!$AQ34)*IF(NOT(ISBLANK('Referenz Pflasterwerk'!$I$12)),'Referenz Pflasterwerk'!$I$12,'Referenz Pflasterwerk'!$F$12)</f>
        <v>0</v>
      </c>
      <c r="G279" s="38">
        <f>IF(NOT(ISBLANK('Referenz Pflasterwerk'!$I49)),'Referenz Pflasterwerk'!$I49,'Referenz Pflasterwerk'!$F49)*IF(NOT(ISBLANK('Eingabe EF'!$AW34)),'Eingabe EF'!$AW34,'Eingabe EF'!$AU34)*IF(NOT(ISBLANK('Referenz Pflasterwerk'!$I$12)),'Referenz Pflasterwerk'!$I$12,'Referenz Pflasterwerk'!$F$12)</f>
        <v>0</v>
      </c>
      <c r="H279" s="38">
        <f>IF(NOT(ISBLANK('Referenz Pflasterwerk'!$I49)),'Referenz Pflasterwerk'!$I49,'Referenz Pflasterwerk'!$F49)*IF(NOT(ISBLANK('Eingabe EF'!$BA34)),'Eingabe EF'!$BA34,'Eingabe EF'!$AY34)*IF(NOT(ISBLANK('Referenz Pflasterwerk'!$I$12)),'Referenz Pflasterwerk'!$I$12,'Referenz Pflasterwerk'!$F$12)</f>
        <v>356.4</v>
      </c>
      <c r="I279" s="17"/>
      <c r="J279" s="38">
        <f>F279+G279</f>
        <v>0</v>
      </c>
      <c r="K279" s="38">
        <f>SUM(F279:H279)</f>
        <v>356.4</v>
      </c>
      <c r="L279" s="17" t="s">
        <v>199</v>
      </c>
      <c r="N279" s="17"/>
      <c r="O279" s="17" t="s">
        <v>229</v>
      </c>
      <c r="P279" s="17"/>
      <c r="Q279" s="18"/>
      <c r="R279" s="17"/>
      <c r="S279" s="42">
        <f>IF(NOT(ISBLANK($K$33)),$K$33,$I$33)/IF(NOT(ISBLANK($K$36)),$K$36,$I$36)+IF(NOT(ISBLANK($K$33)),$K$33,$I$33)*(IF(NOT(ISBLANK($K$37)),$K$37,$I$37)/100)</f>
        <v>0</v>
      </c>
      <c r="T279" s="20" t="s">
        <v>109</v>
      </c>
    </row>
    <row r="280" spans="2:20" ht="15.75" hidden="1" outlineLevel="1" x14ac:dyDescent="0.3">
      <c r="B280" s="302"/>
      <c r="C280" s="17"/>
      <c r="D280" s="17" t="s">
        <v>61</v>
      </c>
      <c r="E280" s="17"/>
      <c r="F280" s="38">
        <f>IF(NOT(ISBLANK('Referenz Pflasterwerk'!$I50)),'Referenz Pflasterwerk'!$I50,'Referenz Pflasterwerk'!$F50)*IF(NOT(ISBLANK('Eingabe EF'!$AS35)),'Eingabe EF'!$AS35,'Eingabe EF'!$AQ35)*IF(NOT(ISBLANK('Referenz Pflasterwerk'!$I$12)),'Referenz Pflasterwerk'!$I$12,'Referenz Pflasterwerk'!$F$12)</f>
        <v>0</v>
      </c>
      <c r="G280" s="38">
        <f>IF(NOT(ISBLANK('Referenz Pflasterwerk'!$I50)),'Referenz Pflasterwerk'!$I50,'Referenz Pflasterwerk'!$F50)*IF(NOT(ISBLANK('Eingabe EF'!$AW35)),'Eingabe EF'!$AW35,'Eingabe EF'!$AU35)*IF(NOT(ISBLANK('Referenz Pflasterwerk'!$I$12)),'Referenz Pflasterwerk'!$I$12,'Referenz Pflasterwerk'!$F$12)</f>
        <v>0</v>
      </c>
      <c r="H280" s="38">
        <f>IF(NOT(ISBLANK('Referenz Pflasterwerk'!$I50)),'Referenz Pflasterwerk'!$I50,'Referenz Pflasterwerk'!$F50)*IF(NOT(ISBLANK('Eingabe EF'!$BA35)),'Eingabe EF'!$BA35,'Eingabe EF'!$AY35)*IF(NOT(ISBLANK('Referenz Pflasterwerk'!$I$12)),'Referenz Pflasterwerk'!$I$12,'Referenz Pflasterwerk'!$F$12)</f>
        <v>0</v>
      </c>
      <c r="I280" s="17"/>
      <c r="J280" s="38">
        <f>F280+G280</f>
        <v>0</v>
      </c>
      <c r="K280" s="38">
        <f>SUM(F280:H280)</f>
        <v>0</v>
      </c>
      <c r="L280" s="17" t="s">
        <v>199</v>
      </c>
      <c r="N280" s="17"/>
      <c r="O280" s="17"/>
      <c r="P280" s="17"/>
      <c r="Q280" s="18"/>
      <c r="R280" s="17"/>
      <c r="S280" s="18"/>
      <c r="T280" s="18"/>
    </row>
    <row r="281" spans="2:20" ht="15.75" hidden="1" outlineLevel="1" x14ac:dyDescent="0.3">
      <c r="B281" s="302"/>
      <c r="C281" s="17"/>
      <c r="D281" s="17" t="s">
        <v>62</v>
      </c>
      <c r="E281" s="17"/>
      <c r="F281" s="38">
        <f>IF(NOT(ISBLANK('Referenz Pflasterwerk'!$I51)),'Referenz Pflasterwerk'!$I51,'Referenz Pflasterwerk'!$F51)*IF(NOT(ISBLANK('Eingabe EF'!$AS36)),'Eingabe EF'!$AS36,'Eingabe EF'!$AQ36)*IF(NOT(ISBLANK('Referenz Pflasterwerk'!$I$12)),'Referenz Pflasterwerk'!$I$12,'Referenz Pflasterwerk'!$F$12)</f>
        <v>0</v>
      </c>
      <c r="G281" s="38">
        <f>IF(NOT(ISBLANK('Referenz Pflasterwerk'!$I51)),'Referenz Pflasterwerk'!$I51,'Referenz Pflasterwerk'!$F51)*IF(NOT(ISBLANK('Eingabe EF'!$AW36)),'Eingabe EF'!$AW36,'Eingabe EF'!$AU36)*IF(NOT(ISBLANK('Referenz Pflasterwerk'!$I$12)),'Referenz Pflasterwerk'!$I$12,'Referenz Pflasterwerk'!$F$12)</f>
        <v>0</v>
      </c>
      <c r="H281" s="38">
        <f>IF(NOT(ISBLANK('Referenz Pflasterwerk'!$I51)),'Referenz Pflasterwerk'!$I51,'Referenz Pflasterwerk'!$F51)*IF(NOT(ISBLANK('Eingabe EF'!$BA36)),'Eingabe EF'!$BA36,'Eingabe EF'!$AY36)*IF(NOT(ISBLANK('Referenz Pflasterwerk'!$I$12)),'Referenz Pflasterwerk'!$I$12,'Referenz Pflasterwerk'!$F$12)</f>
        <v>67.799999999999983</v>
      </c>
      <c r="I281" s="17"/>
      <c r="J281" s="38">
        <f>F281+G281</f>
        <v>0</v>
      </c>
      <c r="K281" s="38">
        <f>SUM(F281:H281)</f>
        <v>67.799999999999983</v>
      </c>
      <c r="L281" s="17" t="s">
        <v>199</v>
      </c>
      <c r="N281" s="17"/>
      <c r="O281" s="17"/>
      <c r="P281" s="17"/>
      <c r="Q281" s="17"/>
      <c r="R281" s="17"/>
      <c r="S281" s="17"/>
      <c r="T281" s="17"/>
    </row>
    <row r="282" spans="2:20" hidden="1" outlineLevel="1" x14ac:dyDescent="0.2">
      <c r="B282" s="17"/>
      <c r="C282" s="17"/>
      <c r="D282" s="17"/>
      <c r="E282" s="17"/>
      <c r="F282" s="17"/>
      <c r="G282" s="17"/>
      <c r="H282" s="17"/>
      <c r="I282" s="17"/>
      <c r="J282" s="17"/>
      <c r="K282" s="20"/>
      <c r="L282" s="20"/>
      <c r="N282" s="17"/>
      <c r="O282" s="17"/>
      <c r="P282" s="17"/>
      <c r="Q282" s="18"/>
      <c r="R282" s="17"/>
      <c r="S282" s="18"/>
      <c r="T282" s="18"/>
    </row>
    <row r="283" spans="2:20" ht="14.25" hidden="1" outlineLevel="1" x14ac:dyDescent="0.25">
      <c r="B283" s="69"/>
      <c r="C283" s="69" t="s">
        <v>52</v>
      </c>
      <c r="D283" s="70"/>
      <c r="E283" s="70"/>
      <c r="F283" s="71">
        <f>SUM(F284:F287)</f>
        <v>0</v>
      </c>
      <c r="G283" s="71">
        <f t="shared" ref="G283:H283" si="67">SUM(G284:G287)</f>
        <v>0</v>
      </c>
      <c r="H283" s="71">
        <f t="shared" si="67"/>
        <v>185.55932668689491</v>
      </c>
      <c r="I283" s="70"/>
      <c r="J283" s="71">
        <f t="shared" ref="J283:J287" si="68">F283+G283</f>
        <v>0</v>
      </c>
      <c r="K283" s="71">
        <f t="shared" ref="K283" si="69">SUM(F283:H283)</f>
        <v>185.55932668689491</v>
      </c>
      <c r="L283" s="76" t="s">
        <v>198</v>
      </c>
    </row>
    <row r="284" spans="2:20" ht="15.75" hidden="1" outlineLevel="1" x14ac:dyDescent="0.3">
      <c r="B284" s="17"/>
      <c r="C284" s="17"/>
      <c r="D284" s="17" t="s">
        <v>53</v>
      </c>
      <c r="E284" s="17"/>
      <c r="F284" s="38">
        <f>IF(NOT(ISBLANK('Referenz Pflasterwerk'!$I$53)),'Referenz Pflasterwerk'!$I$53,'Referenz Pflasterwerk'!$F$53)*IF(NOT(ISBLANK('Referenz Pflasterwerk'!$I54)),'Referenz Pflasterwerk'!$I54,'Referenz Pflasterwerk'!$F54)*IF(NOT(ISBLANK('Eingabe EF'!$AS39)),'Eingabe EF'!$AS39,'Eingabe EF'!$AQ39)*IF(NOT(ISBLANK('Referenz Pflasterwerk'!$I$12)),'Referenz Pflasterwerk'!$I$12,'Referenz Pflasterwerk'!$F$12)</f>
        <v>0</v>
      </c>
      <c r="G284" s="38">
        <f>IF(NOT(ISBLANK('Referenz Pflasterwerk'!$I$53)),'Referenz Pflasterwerk'!$I$53,'Referenz Pflasterwerk'!$F$53)*IF(NOT(ISBLANK('Referenz Pflasterwerk'!$I54)),'Referenz Pflasterwerk'!$I54,'Referenz Pflasterwerk'!$F54)*IF(NOT(ISBLANK('Eingabe EF'!$AW39)),'Eingabe EF'!$AW39,'Eingabe EF'!$AU39)*IF(NOT(ISBLANK('Referenz Pflasterwerk'!$I$12)),'Referenz Pflasterwerk'!$I$12,'Referenz Pflasterwerk'!$F$12)</f>
        <v>0</v>
      </c>
      <c r="H284" s="38">
        <f>IF(NOT(ISBLANK('Referenz Pflasterwerk'!$I$53)),'Referenz Pflasterwerk'!$I$53,'Referenz Pflasterwerk'!$F$53)*IF(NOT(ISBLANK('Referenz Pflasterwerk'!$I54)),'Referenz Pflasterwerk'!$I54,'Referenz Pflasterwerk'!$F54)*IF(NOT(ISBLANK('Eingabe EF'!$BA39)),'Eingabe EF'!$BA39,'Eingabe EF'!$AY39)*IF(NOT(ISBLANK('Referenz Pflasterwerk'!$I$12)),'Referenz Pflasterwerk'!$I$12,'Referenz Pflasterwerk'!$F$12)</f>
        <v>59.997399219765924</v>
      </c>
      <c r="I284" s="17"/>
      <c r="J284" s="38">
        <f t="shared" si="68"/>
        <v>0</v>
      </c>
      <c r="K284" s="38">
        <f t="shared" ref="K284:K287" si="70">SUM(F284:H284)</f>
        <v>59.997399219765924</v>
      </c>
      <c r="L284" s="17" t="s">
        <v>199</v>
      </c>
    </row>
    <row r="285" spans="2:20" ht="15.75" hidden="1" outlineLevel="1" x14ac:dyDescent="0.3">
      <c r="B285" s="17"/>
      <c r="C285" s="17"/>
      <c r="D285" s="17" t="s">
        <v>55</v>
      </c>
      <c r="E285" s="17"/>
      <c r="F285" s="38">
        <f>IF(NOT(ISBLANK('Referenz Pflasterwerk'!$I$53)),'Referenz Pflasterwerk'!$I$53,'Referenz Pflasterwerk'!$F$53)*IF(NOT(ISBLANK('Referenz Pflasterwerk'!$I55)),'Referenz Pflasterwerk'!$I55,'Referenz Pflasterwerk'!$F55)*IF(NOT(ISBLANK('Eingabe EF'!$AS40)),'Eingabe EF'!$AS40,'Eingabe EF'!$AQ40)*IF(NOT(ISBLANK('Referenz Pflasterwerk'!$I$12)),'Referenz Pflasterwerk'!$I$12,'Referenz Pflasterwerk'!$F$12)</f>
        <v>0</v>
      </c>
      <c r="G285" s="38">
        <f>IF(NOT(ISBLANK('Referenz Pflasterwerk'!$I$53)),'Referenz Pflasterwerk'!$I$53,'Referenz Pflasterwerk'!$F$53)*IF(NOT(ISBLANK('Referenz Pflasterwerk'!$I55)),'Referenz Pflasterwerk'!$I55,'Referenz Pflasterwerk'!$F55)*IF(NOT(ISBLANK('Eingabe EF'!$AW40)),'Eingabe EF'!$AW40,'Eingabe EF'!$AU40)*IF(NOT(ISBLANK('Referenz Pflasterwerk'!$I$12)),'Referenz Pflasterwerk'!$I$12,'Referenz Pflasterwerk'!$F$12)</f>
        <v>0</v>
      </c>
      <c r="H285" s="38">
        <f>IF(NOT(ISBLANK('Referenz Pflasterwerk'!$I$53)),'Referenz Pflasterwerk'!$I$53,'Referenz Pflasterwerk'!$F$53)*IF(NOT(ISBLANK('Referenz Pflasterwerk'!$I55)),'Referenz Pflasterwerk'!$I55,'Referenz Pflasterwerk'!$F55)*IF(NOT(ISBLANK('Eingabe EF'!$BA40)),'Eingabe EF'!$BA40,'Eingabe EF'!$AY40)*IF(NOT(ISBLANK('Referenz Pflasterwerk'!$I$12)),'Referenz Pflasterwerk'!$I$12,'Referenz Pflasterwerk'!$F$12)</f>
        <v>7.224692963444574</v>
      </c>
      <c r="I285" s="17"/>
      <c r="J285" s="38">
        <f t="shared" si="68"/>
        <v>0</v>
      </c>
      <c r="K285" s="38">
        <f t="shared" si="70"/>
        <v>7.224692963444574</v>
      </c>
      <c r="L285" s="17" t="s">
        <v>199</v>
      </c>
    </row>
    <row r="286" spans="2:20" ht="15.75" hidden="1" outlineLevel="1" x14ac:dyDescent="0.3">
      <c r="B286" s="17"/>
      <c r="C286" s="17"/>
      <c r="D286" s="17" t="s">
        <v>56</v>
      </c>
      <c r="E286" s="17"/>
      <c r="F286" s="38">
        <f>IF(NOT(ISBLANK('Referenz Pflasterwerk'!$I$53)),'Referenz Pflasterwerk'!$I$53,'Referenz Pflasterwerk'!$F$53)*IF(NOT(ISBLANK('Referenz Pflasterwerk'!$I56)),'Referenz Pflasterwerk'!$I56,'Referenz Pflasterwerk'!$F56)*IF(NOT(ISBLANK('Eingabe EF'!$AS41)),'Eingabe EF'!$AS41,'Eingabe EF'!$AQ41)*IF(NOT(ISBLANK('Referenz Pflasterwerk'!$I$12)),'Referenz Pflasterwerk'!$I$12,'Referenz Pflasterwerk'!$F$12)</f>
        <v>0</v>
      </c>
      <c r="G286" s="38">
        <f>IF(NOT(ISBLANK('Referenz Pflasterwerk'!$I$53)),'Referenz Pflasterwerk'!$I$53,'Referenz Pflasterwerk'!$F$53)*IF(NOT(ISBLANK('Referenz Pflasterwerk'!$I56)),'Referenz Pflasterwerk'!$I56,'Referenz Pflasterwerk'!$F56)*IF(NOT(ISBLANK('Eingabe EF'!$AW41)),'Eingabe EF'!$AW41,'Eingabe EF'!$AU41)*IF(NOT(ISBLANK('Referenz Pflasterwerk'!$I$12)),'Referenz Pflasterwerk'!$I$12,'Referenz Pflasterwerk'!$F$12)</f>
        <v>0</v>
      </c>
      <c r="H286" s="38">
        <f>IF(NOT(ISBLANK('Referenz Pflasterwerk'!$I$53)),'Referenz Pflasterwerk'!$I$53,'Referenz Pflasterwerk'!$F$53)*IF(NOT(ISBLANK('Referenz Pflasterwerk'!$I56)),'Referenz Pflasterwerk'!$I56,'Referenz Pflasterwerk'!$F56)*IF(NOT(ISBLANK('Eingabe EF'!$BA41)),'Eingabe EF'!$BA41,'Eingabe EF'!$AY41)*IF(NOT(ISBLANK('Referenz Pflasterwerk'!$I$12)),'Referenz Pflasterwerk'!$I$12,'Referenz Pflasterwerk'!$F$12)</f>
        <v>1.7771998266146515E-2</v>
      </c>
      <c r="I286" s="17"/>
      <c r="J286" s="38">
        <f t="shared" si="68"/>
        <v>0</v>
      </c>
      <c r="K286" s="38">
        <f t="shared" si="70"/>
        <v>1.7771998266146515E-2</v>
      </c>
      <c r="L286" s="17" t="s">
        <v>199</v>
      </c>
    </row>
    <row r="287" spans="2:20" ht="15.75" hidden="1" outlineLevel="1" x14ac:dyDescent="0.3">
      <c r="B287" s="17"/>
      <c r="C287" s="17"/>
      <c r="D287" s="17" t="s">
        <v>57</v>
      </c>
      <c r="E287" s="17"/>
      <c r="F287" s="38">
        <f>IF(NOT(ISBLANK('Referenz Pflasterwerk'!$I$53)),'Referenz Pflasterwerk'!$I$53,'Referenz Pflasterwerk'!$F$53)*IF(NOT(ISBLANK('Referenz Pflasterwerk'!$I57)),'Referenz Pflasterwerk'!$I57,'Referenz Pflasterwerk'!$F57)*IF(NOT(ISBLANK('Eingabe EF'!$AS42)),'Eingabe EF'!$AS42,'Eingabe EF'!$AQ42)*IF(NOT(ISBLANK('Referenz Pflasterwerk'!$I$12)),'Referenz Pflasterwerk'!$I$12,'Referenz Pflasterwerk'!$F$12)</f>
        <v>0</v>
      </c>
      <c r="G287" s="38">
        <f>IF(NOT(ISBLANK('Referenz Pflasterwerk'!$I$53)),'Referenz Pflasterwerk'!$I$53,'Referenz Pflasterwerk'!$F$53)*IF(NOT(ISBLANK('Referenz Pflasterwerk'!$I57)),'Referenz Pflasterwerk'!$I57,'Referenz Pflasterwerk'!$F57)*IF(NOT(ISBLANK('Eingabe EF'!$AW42)),'Eingabe EF'!$AW42,'Eingabe EF'!$AU42)*IF(NOT(ISBLANK('Referenz Pflasterwerk'!$I$12)),'Referenz Pflasterwerk'!$I$12,'Referenz Pflasterwerk'!$F$12)</f>
        <v>0</v>
      </c>
      <c r="H287" s="38">
        <f>IF(NOT(ISBLANK('Referenz Pflasterwerk'!$I$53)),'Referenz Pflasterwerk'!$I$53,'Referenz Pflasterwerk'!$F$53)*IF(NOT(ISBLANK('Referenz Pflasterwerk'!$I57)),'Referenz Pflasterwerk'!$I57,'Referenz Pflasterwerk'!$F57)*IF(NOT(ISBLANK('Eingabe EF'!$BA42)),'Eingabe EF'!$BA42,'Eingabe EF'!$AY42)*IF(NOT(ISBLANK('Referenz Pflasterwerk'!$I$12)),'Referenz Pflasterwerk'!$I$12,'Referenz Pflasterwerk'!$F$12)</f>
        <v>118.31946250541829</v>
      </c>
      <c r="I287" s="17"/>
      <c r="J287" s="38">
        <f t="shared" si="68"/>
        <v>0</v>
      </c>
      <c r="K287" s="38">
        <f t="shared" si="70"/>
        <v>118.31946250541829</v>
      </c>
      <c r="L287" s="17" t="s">
        <v>199</v>
      </c>
    </row>
    <row r="288" spans="2:20" hidden="1" outlineLevel="1" x14ac:dyDescent="0.2">
      <c r="B288" s="17"/>
      <c r="C288" s="17"/>
      <c r="D288" s="17"/>
      <c r="E288" s="17"/>
      <c r="F288" s="17"/>
      <c r="G288" s="17"/>
      <c r="H288" s="17"/>
      <c r="I288" s="17"/>
      <c r="J288" s="17"/>
      <c r="K288" s="17"/>
      <c r="L288" s="20"/>
    </row>
    <row r="289" spans="2:12" ht="14.25" hidden="1" outlineLevel="1" x14ac:dyDescent="0.25">
      <c r="B289" s="69"/>
      <c r="C289" s="69" t="s">
        <v>338</v>
      </c>
      <c r="D289" s="70"/>
      <c r="E289" s="70"/>
      <c r="F289" s="71">
        <f>SUM(F290:F292)</f>
        <v>0</v>
      </c>
      <c r="G289" s="71">
        <f>SUM(G290:G292)</f>
        <v>0</v>
      </c>
      <c r="H289" s="71">
        <f>SUM(H290:H292)</f>
        <v>0</v>
      </c>
      <c r="I289" s="70"/>
      <c r="J289" s="71">
        <f>F289+G289</f>
        <v>0</v>
      </c>
      <c r="K289" s="71">
        <f t="shared" ref="K289" si="71">SUM(F289:H289)</f>
        <v>0</v>
      </c>
      <c r="L289" s="76" t="s">
        <v>198</v>
      </c>
    </row>
    <row r="290" spans="2:12" ht="15.75" hidden="1" outlineLevel="1" x14ac:dyDescent="0.3">
      <c r="B290" s="302"/>
      <c r="C290" s="17"/>
      <c r="D290" s="17" t="s">
        <v>268</v>
      </c>
      <c r="E290" s="17"/>
      <c r="F290" s="38">
        <v>0</v>
      </c>
      <c r="G290" s="38">
        <v>0</v>
      </c>
      <c r="H290" s="38">
        <f>IF(NOT(ISBLANK(K22)),K22,I22)*IF(NOT(ISBLANK(K26)),K26,0)</f>
        <v>0</v>
      </c>
      <c r="I290" s="17"/>
      <c r="J290" s="38">
        <f t="shared" ref="J290:J291" si="72">F290+G290</f>
        <v>0</v>
      </c>
      <c r="K290" s="38">
        <f t="shared" ref="K290:K291" si="73">SUM(F290:H290)</f>
        <v>0</v>
      </c>
      <c r="L290" s="17" t="s">
        <v>199</v>
      </c>
    </row>
    <row r="291" spans="2:12" ht="15.75" hidden="1" outlineLevel="1" x14ac:dyDescent="0.3">
      <c r="B291" s="302"/>
      <c r="C291" s="17"/>
      <c r="D291" s="17" t="s">
        <v>269</v>
      </c>
      <c r="E291" s="17"/>
      <c r="F291" s="38">
        <v>0</v>
      </c>
      <c r="G291" s="38">
        <v>0</v>
      </c>
      <c r="H291" s="38">
        <f>IF(NOT(ISBLANK(K23)),K23,I23)*IF(NOT(ISBLANK(K27)),K27,0)</f>
        <v>0</v>
      </c>
      <c r="I291" s="17"/>
      <c r="J291" s="38">
        <f t="shared" si="72"/>
        <v>0</v>
      </c>
      <c r="K291" s="38">
        <f t="shared" si="73"/>
        <v>0</v>
      </c>
      <c r="L291" s="17" t="s">
        <v>199</v>
      </c>
    </row>
    <row r="292" spans="2:12" ht="15.75" hidden="1" outlineLevel="1" x14ac:dyDescent="0.3">
      <c r="B292" s="302"/>
      <c r="C292" s="17"/>
      <c r="D292" s="17" t="s">
        <v>339</v>
      </c>
      <c r="E292" s="17"/>
      <c r="F292" s="38">
        <v>0</v>
      </c>
      <c r="G292" s="38">
        <v>0</v>
      </c>
      <c r="H292" s="324">
        <f>E241*IF(NOT(ISBLANK(K28)),K28,I28)</f>
        <v>0</v>
      </c>
      <c r="I292" s="17"/>
      <c r="J292" s="38">
        <f>F292+G292</f>
        <v>0</v>
      </c>
      <c r="K292" s="38">
        <f>SUM(F292:H292)</f>
        <v>0</v>
      </c>
      <c r="L292" s="17" t="s">
        <v>199</v>
      </c>
    </row>
    <row r="293" spans="2:12" hidden="1" outlineLevel="1" x14ac:dyDescent="0.2">
      <c r="B293" s="17"/>
      <c r="C293" s="17"/>
      <c r="D293" s="17"/>
      <c r="E293" s="17"/>
      <c r="F293" s="17"/>
      <c r="G293" s="17"/>
      <c r="H293" s="17"/>
      <c r="I293" s="17"/>
      <c r="J293" s="17"/>
      <c r="K293" s="17"/>
      <c r="L293" s="20"/>
    </row>
    <row r="294" spans="2:12" ht="14.25" hidden="1" outlineLevel="1" x14ac:dyDescent="0.25">
      <c r="B294" s="17"/>
      <c r="C294" s="17"/>
      <c r="D294" s="21" t="s">
        <v>113</v>
      </c>
      <c r="E294" s="21"/>
      <c r="F294" s="74">
        <f>IF(NOT(ISBLANK('Referenz Pflasterwerk'!$I59)),'Referenz Pflasterwerk'!$I59,'Referenz Pflasterwerk'!$F59)*IF(NOT(ISBLANK('Eingabe EF'!$AS44)),'Eingabe EF'!$AS44,0)*IF(NOT(ISBLANK('Referenz Pflasterwerk'!$I$12)),'Referenz Pflasterwerk'!$I$12,'Referenz Pflasterwerk'!$F$12)</f>
        <v>0</v>
      </c>
      <c r="G294" s="74">
        <f>IF(NOT(ISBLANK('Referenz Pflasterwerk'!$I59)),'Referenz Pflasterwerk'!$I59,'Referenz Pflasterwerk'!$F59)*IF(NOT(ISBLANK('Eingabe EF'!$AW44)),'Eingabe EF'!$AW44,0)*IF(NOT(ISBLANK('Referenz Pflasterwerk'!$I$12)),'Referenz Pflasterwerk'!$I$12,'Referenz Pflasterwerk'!$F$12)</f>
        <v>0</v>
      </c>
      <c r="H294" s="74">
        <f>IF(NOT(ISBLANK('Referenz Pflasterwerk'!$I59)),'Referenz Pflasterwerk'!$I59,'Referenz Pflasterwerk'!$F59)*IF(NOT(ISBLANK('Eingabe EF'!$BA44)),'Eingabe EF'!$BA44,0)*IF(NOT(ISBLANK('Referenz Pflasterwerk'!$I$12)),'Referenz Pflasterwerk'!$I$12,'Referenz Pflasterwerk'!$F$12)</f>
        <v>0</v>
      </c>
      <c r="I294" s="21"/>
      <c r="J294" s="74">
        <f>F294+G294</f>
        <v>0</v>
      </c>
      <c r="K294" s="74">
        <f>SUM(F294:H294)</f>
        <v>0</v>
      </c>
      <c r="L294" s="21" t="s">
        <v>198</v>
      </c>
    </row>
    <row r="295" spans="2:12" ht="14.25" hidden="1" outlineLevel="1" x14ac:dyDescent="0.25">
      <c r="B295" s="17"/>
      <c r="C295" s="17"/>
      <c r="D295" s="21" t="s">
        <v>65</v>
      </c>
      <c r="E295" s="21"/>
      <c r="F295" s="75">
        <f>IF(NOT(ISBLANK('Referenz Pflasterwerk'!$I60)),'Referenz Pflasterwerk'!$I60,'Referenz Pflasterwerk'!$F60)*IF(NOT(ISBLANK('Eingabe EF'!$AS45)),'Eingabe EF'!$AS45,'Eingabe EF'!$AQ45)</f>
        <v>0</v>
      </c>
      <c r="G295" s="75">
        <f>IF(NOT(ISBLANK('Referenz Pflasterwerk'!$I60)),'Referenz Pflasterwerk'!$I60,'Referenz Pflasterwerk'!$F60)*IF(NOT(ISBLANK('Eingabe EF'!$AW45)),'Eingabe EF'!$AW45,'Eingabe EF'!$AU45)</f>
        <v>0</v>
      </c>
      <c r="H295" s="75">
        <f>IF(NOT(ISBLANK('Referenz Pflasterwerk'!$I60)),'Referenz Pflasterwerk'!$I60,'Referenz Pflasterwerk'!$F60)*IF(NOT(ISBLANK('Eingabe EF'!$BA45)),'Eingabe EF'!$BA45,'Eingabe EF'!$AY45)</f>
        <v>5.4399999999999997E-2</v>
      </c>
      <c r="I295" s="21"/>
      <c r="J295" s="74">
        <f>F295+G295</f>
        <v>0</v>
      </c>
      <c r="K295" s="74">
        <f>SUM(F295:H295)</f>
        <v>5.4399999999999997E-2</v>
      </c>
      <c r="L295" s="21" t="s">
        <v>198</v>
      </c>
    </row>
    <row r="296" spans="2:12" hidden="1" outlineLevel="1" x14ac:dyDescent="0.2">
      <c r="B296" s="17"/>
      <c r="C296" s="17"/>
      <c r="D296" s="17"/>
      <c r="E296" s="17"/>
      <c r="F296" s="17"/>
      <c r="G296" s="17"/>
      <c r="H296" s="17"/>
      <c r="I296" s="17"/>
      <c r="J296" s="17"/>
      <c r="K296" s="17"/>
      <c r="L296" s="20"/>
    </row>
    <row r="297" spans="2:12" ht="14.25" hidden="1" outlineLevel="1" x14ac:dyDescent="0.25">
      <c r="B297" s="69"/>
      <c r="C297" s="69" t="s">
        <v>183</v>
      </c>
      <c r="D297" s="70"/>
      <c r="E297" s="70"/>
      <c r="F297" s="71">
        <f>SUM(F298:F300)</f>
        <v>0</v>
      </c>
      <c r="G297" s="71">
        <f t="shared" ref="G297:H297" si="74">SUM(G298:G300)</f>
        <v>0</v>
      </c>
      <c r="H297" s="71">
        <f t="shared" si="74"/>
        <v>0</v>
      </c>
      <c r="I297" s="70"/>
      <c r="J297" s="71">
        <f t="shared" ref="J297" si="75">F297+G297</f>
        <v>0</v>
      </c>
      <c r="K297" s="71">
        <f t="shared" ref="K297" si="76">SUM(F297:H297)</f>
        <v>0</v>
      </c>
      <c r="L297" s="76" t="s">
        <v>198</v>
      </c>
    </row>
    <row r="298" spans="2:12" ht="15.75" hidden="1" outlineLevel="1" x14ac:dyDescent="0.3">
      <c r="B298" s="17"/>
      <c r="C298" s="17"/>
      <c r="D298" s="17" t="s">
        <v>184</v>
      </c>
      <c r="E298" s="17"/>
      <c r="F298" s="38">
        <f>IF(NOT(ISBLANK('Referenz Pflasterwerk'!$I63)),'Referenz Pflasterwerk'!$I63,'Referenz Pflasterwerk'!$F63)*IF(NOT(ISBLANK('Eingabe EF'!$AS48)),'Eingabe EF'!$AS48,0)*IF(NOT(ISBLANK('Referenz Pflasterwerk'!$I$12)),'Referenz Pflasterwerk'!$I$12,'Referenz Pflasterwerk'!$F$12)</f>
        <v>0</v>
      </c>
      <c r="G298" s="38">
        <f>IF(NOT(ISBLANK('Referenz Pflasterwerk'!$I63)),'Referenz Pflasterwerk'!$I63,'Referenz Pflasterwerk'!$F63)*IF(NOT(ISBLANK('Eingabe EF'!$AW48)),'Eingabe EF'!$AW48,0)*IF(NOT(ISBLANK('Referenz Pflasterwerk'!$I$12)),'Referenz Pflasterwerk'!$I$12,'Referenz Pflasterwerk'!$F$12)</f>
        <v>0</v>
      </c>
      <c r="H298" s="38">
        <f>IF(NOT(ISBLANK('Referenz Pflasterwerk'!$I63)),'Referenz Pflasterwerk'!$I63,'Referenz Pflasterwerk'!$F63)*IF(NOT(ISBLANK('Eingabe EF'!$BA48)),'Eingabe EF'!$BA48,0)*IF(NOT(ISBLANK('Referenz Pflasterwerk'!$I$12)),'Referenz Pflasterwerk'!$I$12,'Referenz Pflasterwerk'!$F$12)</f>
        <v>0</v>
      </c>
      <c r="I298" s="17"/>
      <c r="J298" s="38">
        <f>F298+G298</f>
        <v>0</v>
      </c>
      <c r="K298" s="38">
        <f>SUM(F298:H298)</f>
        <v>0</v>
      </c>
      <c r="L298" s="17" t="s">
        <v>199</v>
      </c>
    </row>
    <row r="299" spans="2:12" ht="15.75" hidden="1" outlineLevel="1" x14ac:dyDescent="0.3">
      <c r="B299" s="17"/>
      <c r="C299" s="17"/>
      <c r="D299" s="17" t="s">
        <v>63</v>
      </c>
      <c r="E299" s="17"/>
      <c r="F299" s="38">
        <f>IF(NOT(ISBLANK('Referenz Pflasterwerk'!$I64)),'Referenz Pflasterwerk'!$I64,'Referenz Pflasterwerk'!$F64)*IF(NOT(ISBLANK('Eingabe EF'!$AS49)),'Eingabe EF'!$AS49,'Eingabe EF'!$AQ49)*IF(NOT(ISBLANK('Referenz Pflasterwerk'!$I$12)),'Referenz Pflasterwerk'!$I$12,'Referenz Pflasterwerk'!$F$12)</f>
        <v>0</v>
      </c>
      <c r="G299" s="38">
        <f>IF(NOT(ISBLANK('Referenz Pflasterwerk'!$I64)),'Referenz Pflasterwerk'!$I64,'Referenz Pflasterwerk'!$F64)*IF(NOT(ISBLANK('Eingabe EF'!$AW49)),'Eingabe EF'!$AW49,'Eingabe EF'!$AU49)*IF(NOT(ISBLANK('Referenz Pflasterwerk'!$I$12)),'Referenz Pflasterwerk'!$I$12,'Referenz Pflasterwerk'!$F$12)</f>
        <v>0</v>
      </c>
      <c r="H299" s="38">
        <f>IF(NOT(ISBLANK('Referenz Pflasterwerk'!$I64)),'Referenz Pflasterwerk'!$I64,'Referenz Pflasterwerk'!$F64)*IF(NOT(ISBLANK('Eingabe EF'!$BA49)),'Eingabe EF'!$BA49,'Eingabe EF'!$AY49)*IF(NOT(ISBLANK('Referenz Pflasterwerk'!$I$12)),'Referenz Pflasterwerk'!$I$12,'Referenz Pflasterwerk'!$F$12)</f>
        <v>0</v>
      </c>
      <c r="I299" s="17"/>
      <c r="J299" s="38">
        <f t="shared" ref="J299" si="77">F299+G299</f>
        <v>0</v>
      </c>
      <c r="K299" s="38">
        <f t="shared" ref="K299" si="78">SUM(F299:H299)</f>
        <v>0</v>
      </c>
      <c r="L299" s="17" t="s">
        <v>199</v>
      </c>
    </row>
    <row r="300" spans="2:12" ht="15.75" hidden="1" outlineLevel="1" x14ac:dyDescent="0.3">
      <c r="B300" s="17"/>
      <c r="C300" s="17"/>
      <c r="D300" s="17" t="s">
        <v>185</v>
      </c>
      <c r="E300" s="17"/>
      <c r="F300" s="38">
        <f>IF(NOT(ISBLANK('Referenz Pflasterwerk'!$I65)),'Referenz Pflasterwerk'!$I65,'Referenz Pflasterwerk'!$F65)*IF(NOT(ISBLANK('Eingabe EF'!$AS50)),'Eingabe EF'!$AS50,0)*IF(NOT(ISBLANK('Referenz Pflasterwerk'!$I$12)),'Referenz Pflasterwerk'!$I$12,'Referenz Pflasterwerk'!$F$12)</f>
        <v>0</v>
      </c>
      <c r="G300" s="38">
        <f>IF(NOT(ISBLANK('Referenz Pflasterwerk'!$I65)),'Referenz Pflasterwerk'!$I65,'Referenz Pflasterwerk'!$F65)*IF(NOT(ISBLANK('Eingabe EF'!$AW50)),'Eingabe EF'!$AW50,0)*IF(NOT(ISBLANK('Referenz Pflasterwerk'!$I$12)),'Referenz Pflasterwerk'!$I$12,'Referenz Pflasterwerk'!$F$12)</f>
        <v>0</v>
      </c>
      <c r="H300" s="38">
        <f>IF(NOT(ISBLANK('Referenz Pflasterwerk'!$I65)),'Referenz Pflasterwerk'!$I65,'Referenz Pflasterwerk'!$F65)*IF(NOT(ISBLANK('Eingabe EF'!$BA50)),'Eingabe EF'!$BA50,0)*IF(NOT(ISBLANK('Referenz Pflasterwerk'!$I$12)),'Referenz Pflasterwerk'!$I$12,'Referenz Pflasterwerk'!$F$12)</f>
        <v>0</v>
      </c>
      <c r="I300" s="17"/>
      <c r="J300" s="38">
        <f>F300+G300</f>
        <v>0</v>
      </c>
      <c r="K300" s="38">
        <f>SUM(F300:H300)</f>
        <v>0</v>
      </c>
      <c r="L300" s="17" t="s">
        <v>199</v>
      </c>
    </row>
    <row r="301" spans="2:12" hidden="1" outlineLevel="1" x14ac:dyDescent="0.2">
      <c r="B301" s="17"/>
      <c r="C301" s="17"/>
      <c r="D301" s="17"/>
      <c r="E301" s="17"/>
      <c r="F301" s="17"/>
      <c r="G301" s="17"/>
      <c r="H301" s="17"/>
      <c r="I301" s="17"/>
      <c r="J301" s="17"/>
      <c r="K301" s="17"/>
      <c r="L301" s="20"/>
    </row>
    <row r="302" spans="2:12" ht="14.25" hidden="1" outlineLevel="1" x14ac:dyDescent="0.25">
      <c r="B302" s="69"/>
      <c r="C302" s="69" t="s">
        <v>186</v>
      </c>
      <c r="D302" s="70"/>
      <c r="E302" s="70"/>
      <c r="F302" s="71">
        <f>SUM(F303:F305)</f>
        <v>0</v>
      </c>
      <c r="G302" s="71">
        <f t="shared" ref="G302:H302" si="79">SUM(G303:G305)</f>
        <v>0</v>
      </c>
      <c r="H302" s="71">
        <f t="shared" si="79"/>
        <v>0</v>
      </c>
      <c r="I302" s="70"/>
      <c r="J302" s="71">
        <f t="shared" ref="J302" si="80">F302+G302</f>
        <v>0</v>
      </c>
      <c r="K302" s="71">
        <f t="shared" ref="K302" si="81">SUM(F302:H302)</f>
        <v>0</v>
      </c>
      <c r="L302" s="76" t="s">
        <v>198</v>
      </c>
    </row>
    <row r="303" spans="2:12" ht="15.75" hidden="1" outlineLevel="1" x14ac:dyDescent="0.3">
      <c r="B303" s="17"/>
      <c r="C303" s="17"/>
      <c r="D303" s="17" t="s">
        <v>67</v>
      </c>
      <c r="E303" s="17"/>
      <c r="F303" s="44">
        <f>IF(NOT(ISBLANK('Referenz Pflasterwerk'!$I68)),'Referenz Pflasterwerk'!$I68,'Referenz Pflasterwerk'!$F68)*IF(NOT(ISBLANK('Eingabe EF'!$AS53)),'Eingabe EF'!$AS53,'Eingabe EF'!$AQ53)</f>
        <v>0</v>
      </c>
      <c r="G303" s="44">
        <f>IF(NOT(ISBLANK('Referenz Pflasterwerk'!$I68)),'Referenz Pflasterwerk'!$I68,'Referenz Pflasterwerk'!$F68)*IF(NOT(ISBLANK('Eingabe EF'!$AW53)),'Eingabe EF'!$AW53,'Eingabe EF'!$AU53)</f>
        <v>0</v>
      </c>
      <c r="H303" s="44">
        <f>IF(NOT(ISBLANK('Referenz Pflasterwerk'!$I68)),'Referenz Pflasterwerk'!$I68,'Referenz Pflasterwerk'!$F68)*IF(NOT(ISBLANK('Eingabe EF'!$BA53)),'Eingabe EF'!$BA53,'Eingabe EF'!$AY53)</f>
        <v>0</v>
      </c>
      <c r="I303" s="17"/>
      <c r="J303" s="38">
        <f>F303+G303</f>
        <v>0</v>
      </c>
      <c r="K303" s="38">
        <f>SUM(F303:H303)</f>
        <v>0</v>
      </c>
      <c r="L303" s="17" t="s">
        <v>199</v>
      </c>
    </row>
    <row r="304" spans="2:12" ht="15.75" hidden="1" outlineLevel="1" x14ac:dyDescent="0.3">
      <c r="B304" s="17"/>
      <c r="C304" s="17"/>
      <c r="D304" s="17" t="s">
        <v>188</v>
      </c>
      <c r="E304" s="17"/>
      <c r="F304" s="44">
        <f>IF(NOT(ISBLANK('Referenz Pflasterwerk'!$I69)),'Referenz Pflasterwerk'!$I69,'Referenz Pflasterwerk'!$F69)*IF(NOT(ISBLANK('Eingabe EF'!$AS54)),'Eingabe EF'!$AS54,0)</f>
        <v>0</v>
      </c>
      <c r="G304" s="44">
        <f>IF(NOT(ISBLANK('Referenz Pflasterwerk'!$I69)),'Referenz Pflasterwerk'!$I69,'Referenz Pflasterwerk'!$F69)*IF(NOT(ISBLANK('Eingabe EF'!$AW54)),'Eingabe EF'!$AW54,0)</f>
        <v>0</v>
      </c>
      <c r="H304" s="44">
        <f>IF(NOT(ISBLANK('Referenz Pflasterwerk'!$I69)),'Referenz Pflasterwerk'!$I69,'Referenz Pflasterwerk'!$F69)*IF(NOT(ISBLANK('Eingabe EF'!$BA54)),'Eingabe EF'!$BA54,0)</f>
        <v>0</v>
      </c>
      <c r="I304" s="17"/>
      <c r="J304" s="38">
        <f t="shared" ref="J304:J305" si="82">F304+G304</f>
        <v>0</v>
      </c>
      <c r="K304" s="38">
        <f t="shared" ref="K304:K305" si="83">SUM(F304:H304)</f>
        <v>0</v>
      </c>
      <c r="L304" s="17" t="s">
        <v>199</v>
      </c>
    </row>
    <row r="305" spans="2:12" ht="15.75" hidden="1" outlineLevel="1" x14ac:dyDescent="0.3">
      <c r="B305" s="17"/>
      <c r="C305" s="17"/>
      <c r="D305" s="17" t="s">
        <v>187</v>
      </c>
      <c r="E305" s="17"/>
      <c r="F305" s="44">
        <f>IF(NOT(ISBLANK('Referenz Pflasterwerk'!$I70)),'Referenz Pflasterwerk'!$I70,'Referenz Pflasterwerk'!$F70)*IF(NOT(ISBLANK('Eingabe EF'!$AS55)),'Eingabe EF'!$AS55,0)</f>
        <v>0</v>
      </c>
      <c r="G305" s="44">
        <f>IF(NOT(ISBLANK('Referenz Pflasterwerk'!$I70)),'Referenz Pflasterwerk'!$I70,'Referenz Pflasterwerk'!$F70)*IF(NOT(ISBLANK('Eingabe EF'!$AW55)),'Eingabe EF'!$AW55,0)</f>
        <v>0</v>
      </c>
      <c r="H305" s="44">
        <f>IF(NOT(ISBLANK('Referenz Pflasterwerk'!$I70)),'Referenz Pflasterwerk'!$I70,'Referenz Pflasterwerk'!$F70)*IF(NOT(ISBLANK('Eingabe EF'!$BA55)),'Eingabe EF'!$BA55,0)</f>
        <v>0</v>
      </c>
      <c r="I305" s="17"/>
      <c r="J305" s="38">
        <f t="shared" si="82"/>
        <v>0</v>
      </c>
      <c r="K305" s="38">
        <f t="shared" si="83"/>
        <v>0</v>
      </c>
      <c r="L305" s="17" t="s">
        <v>199</v>
      </c>
    </row>
    <row r="306" spans="2:12" hidden="1" outlineLevel="1" x14ac:dyDescent="0.2">
      <c r="B306" s="17"/>
      <c r="C306" s="17"/>
      <c r="D306" s="17"/>
      <c r="E306" s="17"/>
      <c r="F306" s="17"/>
      <c r="G306" s="17"/>
      <c r="H306" s="17"/>
      <c r="I306" s="17"/>
      <c r="J306" s="17"/>
      <c r="K306" s="17"/>
      <c r="L306" s="20"/>
    </row>
    <row r="307" spans="2:12" ht="14.25" hidden="1" outlineLevel="1" x14ac:dyDescent="0.25">
      <c r="B307" s="17"/>
      <c r="C307" s="17"/>
      <c r="D307" s="21" t="s">
        <v>64</v>
      </c>
      <c r="E307" s="21"/>
      <c r="F307" s="75">
        <f>IF(NOT(ISBLANK('Referenz Pflasterwerk'!$I72)),'Referenz Pflasterwerk'!$I72,'Referenz Pflasterwerk'!$F72)*IF(NOT(ISBLANK('Eingabe EF'!$AS57)),'Eingabe EF'!$AS57,'Eingabe EF'!$AQ57)</f>
        <v>0</v>
      </c>
      <c r="G307" s="75">
        <f>IF(NOT(ISBLANK('Referenz Pflasterwerk'!$I72)),'Referenz Pflasterwerk'!$I72,'Referenz Pflasterwerk'!$F72)*IF(NOT(ISBLANK('Eingabe EF'!$AW57)),'Eingabe EF'!$AW57,'Eingabe EF'!$AU57)</f>
        <v>0</v>
      </c>
      <c r="H307" s="75">
        <f>IF(NOT(ISBLANK('Referenz Pflasterwerk'!$I72)),'Referenz Pflasterwerk'!$I72,'Referenz Pflasterwerk'!$F72)*IF(NOT(ISBLANK('Eingabe EF'!$BA57)),'Eingabe EF'!$BA57,'Eingabe EF'!$AY57)</f>
        <v>161.20000000000002</v>
      </c>
      <c r="I307" s="21"/>
      <c r="J307" s="74">
        <f t="shared" ref="J307" si="84">F307+G307</f>
        <v>0</v>
      </c>
      <c r="K307" s="74">
        <f t="shared" ref="K307" si="85">SUM(F307:H307)</f>
        <v>161.20000000000002</v>
      </c>
      <c r="L307" s="21" t="s">
        <v>198</v>
      </c>
    </row>
    <row r="308" spans="2:12" hidden="1" outlineLevel="1" x14ac:dyDescent="0.2">
      <c r="B308" s="17"/>
      <c r="C308" s="17"/>
      <c r="D308" s="17"/>
      <c r="E308" s="17"/>
      <c r="F308" s="20"/>
      <c r="G308" s="20"/>
      <c r="H308" s="20"/>
      <c r="I308" s="17"/>
      <c r="J308" s="17"/>
      <c r="K308" s="20"/>
      <c r="L308" s="20"/>
    </row>
    <row r="309" spans="2:12" ht="15" hidden="1" outlineLevel="1" thickBot="1" x14ac:dyDescent="0.3">
      <c r="B309" s="17"/>
      <c r="C309" s="17"/>
      <c r="D309" s="67" t="s">
        <v>70</v>
      </c>
      <c r="E309" s="67"/>
      <c r="F309" s="68">
        <f>SUM(F247:F307)-F261-F265-F271-F278-F283-F289-F297-F302</f>
        <v>106.60088015999999</v>
      </c>
      <c r="G309" s="68">
        <f t="shared" ref="G309:H309" si="86">SUM(G247:G307)-G261-G265-G271-G278-G283-G289-G297-G302</f>
        <v>102.58759141018427</v>
      </c>
      <c r="H309" s="68">
        <f t="shared" si="86"/>
        <v>10493.661979082948</v>
      </c>
      <c r="I309" s="21"/>
      <c r="J309" s="68">
        <f>SUM(J247:J307)-J261-J265-J271-J278-J283-J289-J297-J302</f>
        <v>209.18847157018425</v>
      </c>
      <c r="K309" s="68">
        <f>SUM(K247:K307)-K261-K265-K271-K278-K283-K289-K297-K302</f>
        <v>10702.85045065313</v>
      </c>
      <c r="L309" s="68" t="s">
        <v>198</v>
      </c>
    </row>
    <row r="310" spans="2:12" ht="13.5" hidden="1" outlineLevel="1" thickTop="1" x14ac:dyDescent="0.2">
      <c r="B310" s="17"/>
      <c r="C310" s="17"/>
      <c r="D310" s="17"/>
      <c r="E310" s="17"/>
      <c r="F310" s="20"/>
      <c r="G310" s="20"/>
      <c r="H310" s="20"/>
      <c r="I310" s="17"/>
      <c r="J310" s="17"/>
      <c r="K310" s="20"/>
      <c r="L310" s="20"/>
    </row>
    <row r="311" spans="2:12" collapsed="1" x14ac:dyDescent="0.2"/>
  </sheetData>
  <sheetProtection algorithmName="SHA-512" hashValue="lXh3kVTwL1URSQ2usiNsB0fWUloE5zir263Bu4ZtMsuUa4CDk7qDAAYsRullYYk12rSovdJFfSsK0Je20GYuqQ==" saltValue="HU3TRzq1EBNsmgPGsk7azw==" spinCount="100000" sheet="1" selectLockedCells="1"/>
  <mergeCells count="10">
    <mergeCell ref="K96:K97"/>
    <mergeCell ref="D40:L40"/>
    <mergeCell ref="D41:L41"/>
    <mergeCell ref="D43:L43"/>
    <mergeCell ref="D6:L6"/>
    <mergeCell ref="E13:G13"/>
    <mergeCell ref="I13:K13"/>
    <mergeCell ref="C87:C88"/>
    <mergeCell ref="S87:S88"/>
    <mergeCell ref="D42:L42"/>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10</xdr:col>
                    <xdr:colOff>523875</xdr:colOff>
                    <xdr:row>97</xdr:row>
                    <xdr:rowOff>28575</xdr:rowOff>
                  </from>
                  <to>
                    <xdr:col>10</xdr:col>
                    <xdr:colOff>704850</xdr:colOff>
                    <xdr:row>97</xdr:row>
                    <xdr:rowOff>190500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10</xdr:col>
                    <xdr:colOff>523875</xdr:colOff>
                    <xdr:row>98</xdr:row>
                    <xdr:rowOff>28575</xdr:rowOff>
                  </from>
                  <to>
                    <xdr:col>10</xdr:col>
                    <xdr:colOff>704850</xdr:colOff>
                    <xdr:row>98</xdr:row>
                    <xdr:rowOff>190500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10</xdr:col>
                    <xdr:colOff>523875</xdr:colOff>
                    <xdr:row>99</xdr:row>
                    <xdr:rowOff>28575</xdr:rowOff>
                  </from>
                  <to>
                    <xdr:col>10</xdr:col>
                    <xdr:colOff>704850</xdr:colOff>
                    <xdr:row>99</xdr:row>
                    <xdr:rowOff>180975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10</xdr:col>
                    <xdr:colOff>523875</xdr:colOff>
                    <xdr:row>100</xdr:row>
                    <xdr:rowOff>19050</xdr:rowOff>
                  </from>
                  <to>
                    <xdr:col>10</xdr:col>
                    <xdr:colOff>704850</xdr:colOff>
                    <xdr:row>100</xdr:row>
                    <xdr:rowOff>190500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10</xdr:col>
                    <xdr:colOff>523875</xdr:colOff>
                    <xdr:row>101</xdr:row>
                    <xdr:rowOff>19050</xdr:rowOff>
                  </from>
                  <to>
                    <xdr:col>10</xdr:col>
                    <xdr:colOff>704850</xdr:colOff>
                    <xdr:row>101</xdr:row>
                    <xdr:rowOff>180975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10</xdr:col>
                    <xdr:colOff>523875</xdr:colOff>
                    <xdr:row>102</xdr:row>
                    <xdr:rowOff>0</xdr:rowOff>
                  </from>
                  <to>
                    <xdr:col>10</xdr:col>
                    <xdr:colOff>704850</xdr:colOff>
                    <xdr:row>102</xdr:row>
                    <xdr:rowOff>180975</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10</xdr:col>
                    <xdr:colOff>523875</xdr:colOff>
                    <xdr:row>103</xdr:row>
                    <xdr:rowOff>9525</xdr:rowOff>
                  </from>
                  <to>
                    <xdr:col>10</xdr:col>
                    <xdr:colOff>704850</xdr:colOff>
                    <xdr:row>103</xdr:row>
                    <xdr:rowOff>190500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18</xdr:col>
                    <xdr:colOff>457200</xdr:colOff>
                    <xdr:row>99</xdr:row>
                    <xdr:rowOff>0</xdr:rowOff>
                  </from>
                  <to>
                    <xdr:col>18</xdr:col>
                    <xdr:colOff>676275</xdr:colOff>
                    <xdr:row>99</xdr:row>
                    <xdr:rowOff>180975</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18</xdr:col>
                    <xdr:colOff>571500</xdr:colOff>
                    <xdr:row>100</xdr:row>
                    <xdr:rowOff>19050</xdr:rowOff>
                  </from>
                  <to>
                    <xdr:col>19</xdr:col>
                    <xdr:colOff>0</xdr:colOff>
                    <xdr:row>101</xdr:row>
                    <xdr:rowOff>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18</xdr:col>
                    <xdr:colOff>571500</xdr:colOff>
                    <xdr:row>101</xdr:row>
                    <xdr:rowOff>19050</xdr:rowOff>
                  </from>
                  <to>
                    <xdr:col>19</xdr:col>
                    <xdr:colOff>0</xdr:colOff>
                    <xdr:row>101</xdr:row>
                    <xdr:rowOff>200025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18</xdr:col>
                    <xdr:colOff>571500</xdr:colOff>
                    <xdr:row>102</xdr:row>
                    <xdr:rowOff>9525</xdr:rowOff>
                  </from>
                  <to>
                    <xdr:col>19</xdr:col>
                    <xdr:colOff>0</xdr:colOff>
                    <xdr:row>102</xdr:row>
                    <xdr:rowOff>190500</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18</xdr:col>
                    <xdr:colOff>457200</xdr:colOff>
                    <xdr:row>97</xdr:row>
                    <xdr:rowOff>9525</xdr:rowOff>
                  </from>
                  <to>
                    <xdr:col>18</xdr:col>
                    <xdr:colOff>676275</xdr:colOff>
                    <xdr:row>98</xdr:row>
                    <xdr:rowOff>9525</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18</xdr:col>
                    <xdr:colOff>457200</xdr:colOff>
                    <xdr:row>96</xdr:row>
                    <xdr:rowOff>0</xdr:rowOff>
                  </from>
                  <to>
                    <xdr:col>18</xdr:col>
                    <xdr:colOff>676275</xdr:colOff>
                    <xdr:row>96</xdr:row>
                    <xdr:rowOff>180975</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18</xdr:col>
                    <xdr:colOff>457200</xdr:colOff>
                    <xdr:row>98</xdr:row>
                    <xdr:rowOff>9525</xdr:rowOff>
                  </from>
                  <to>
                    <xdr:col>18</xdr:col>
                    <xdr:colOff>676275</xdr:colOff>
                    <xdr:row>99</xdr:row>
                    <xdr:rowOff>0</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2</xdr:col>
                    <xdr:colOff>514350</xdr:colOff>
                    <xdr:row>87</xdr:row>
                    <xdr:rowOff>152400</xdr:rowOff>
                  </from>
                  <to>
                    <xdr:col>2</xdr:col>
                    <xdr:colOff>723900</xdr:colOff>
                    <xdr:row>89</xdr:row>
                    <xdr:rowOff>9525</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2</xdr:col>
                    <xdr:colOff>514350</xdr:colOff>
                    <xdr:row>88</xdr:row>
                    <xdr:rowOff>190500</xdr:rowOff>
                  </from>
                  <to>
                    <xdr:col>2</xdr:col>
                    <xdr:colOff>723900</xdr:colOff>
                    <xdr:row>90</xdr:row>
                    <xdr:rowOff>9525</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2</xdr:col>
                    <xdr:colOff>514350</xdr:colOff>
                    <xdr:row>89</xdr:row>
                    <xdr:rowOff>190500</xdr:rowOff>
                  </from>
                  <to>
                    <xdr:col>2</xdr:col>
                    <xdr:colOff>723900</xdr:colOff>
                    <xdr:row>91</xdr:row>
                    <xdr:rowOff>9525</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xdr:col>
                    <xdr:colOff>514350</xdr:colOff>
                    <xdr:row>90</xdr:row>
                    <xdr:rowOff>190500</xdr:rowOff>
                  </from>
                  <to>
                    <xdr:col>2</xdr:col>
                    <xdr:colOff>723900</xdr:colOff>
                    <xdr:row>92</xdr:row>
                    <xdr:rowOff>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2</xdr:col>
                    <xdr:colOff>514350</xdr:colOff>
                    <xdr:row>91</xdr:row>
                    <xdr:rowOff>190500</xdr:rowOff>
                  </from>
                  <to>
                    <xdr:col>2</xdr:col>
                    <xdr:colOff>723900</xdr:colOff>
                    <xdr:row>92</xdr:row>
                    <xdr:rowOff>200025</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2</xdr:col>
                    <xdr:colOff>514350</xdr:colOff>
                    <xdr:row>92</xdr:row>
                    <xdr:rowOff>180975</xdr:rowOff>
                  </from>
                  <to>
                    <xdr:col>2</xdr:col>
                    <xdr:colOff>723900</xdr:colOff>
                    <xdr:row>93</xdr:row>
                    <xdr:rowOff>190500</xdr:rowOff>
                  </to>
                </anchor>
              </controlPr>
            </control>
          </mc:Choice>
        </mc:AlternateContent>
        <mc:AlternateContent xmlns:mc="http://schemas.openxmlformats.org/markup-compatibility/2006">
          <mc:Choice Requires="x14">
            <control shapeId="83989" r:id="rId24" name="Check Box 21">
              <controlPr defaultSize="0" autoFill="0" autoLine="0" autoPict="0">
                <anchor moveWithCells="1">
                  <from>
                    <xdr:col>2</xdr:col>
                    <xdr:colOff>514350</xdr:colOff>
                    <xdr:row>93</xdr:row>
                    <xdr:rowOff>171450</xdr:rowOff>
                  </from>
                  <to>
                    <xdr:col>2</xdr:col>
                    <xdr:colOff>723900</xdr:colOff>
                    <xdr:row>95</xdr:row>
                    <xdr:rowOff>0</xdr:rowOff>
                  </to>
                </anchor>
              </controlPr>
            </control>
          </mc:Choice>
        </mc:AlternateContent>
        <mc:AlternateContent xmlns:mc="http://schemas.openxmlformats.org/markup-compatibility/2006">
          <mc:Choice Requires="x14">
            <control shapeId="83990" r:id="rId25" name="Check Box 22">
              <controlPr defaultSize="0" autoFill="0" autoLine="0" autoPict="0">
                <anchor moveWithCells="1">
                  <from>
                    <xdr:col>2</xdr:col>
                    <xdr:colOff>514350</xdr:colOff>
                    <xdr:row>95</xdr:row>
                    <xdr:rowOff>190500</xdr:rowOff>
                  </from>
                  <to>
                    <xdr:col>2</xdr:col>
                    <xdr:colOff>723900</xdr:colOff>
                    <xdr:row>97</xdr:row>
                    <xdr:rowOff>0</xdr:rowOff>
                  </to>
                </anchor>
              </controlPr>
            </control>
          </mc:Choice>
        </mc:AlternateContent>
        <mc:AlternateContent xmlns:mc="http://schemas.openxmlformats.org/markup-compatibility/2006">
          <mc:Choice Requires="x14">
            <control shapeId="83991" r:id="rId26" name="Check Box 23">
              <controlPr defaultSize="0" autoFill="0" autoLine="0" autoPict="0">
                <anchor moveWithCells="1">
                  <from>
                    <xdr:col>2</xdr:col>
                    <xdr:colOff>514350</xdr:colOff>
                    <xdr:row>96</xdr:row>
                    <xdr:rowOff>180975</xdr:rowOff>
                  </from>
                  <to>
                    <xdr:col>2</xdr:col>
                    <xdr:colOff>723900</xdr:colOff>
                    <xdr:row>98</xdr:row>
                    <xdr:rowOff>0</xdr:rowOff>
                  </to>
                </anchor>
              </controlPr>
            </control>
          </mc:Choice>
        </mc:AlternateContent>
        <mc:AlternateContent xmlns:mc="http://schemas.openxmlformats.org/markup-compatibility/2006">
          <mc:Choice Requires="x14">
            <control shapeId="83992" r:id="rId27" name="Check Box 24">
              <controlPr defaultSize="0" autoFill="0" autoLine="0" autoPict="0">
                <anchor moveWithCells="1">
                  <from>
                    <xdr:col>2</xdr:col>
                    <xdr:colOff>514350</xdr:colOff>
                    <xdr:row>97</xdr:row>
                    <xdr:rowOff>180975</xdr:rowOff>
                  </from>
                  <to>
                    <xdr:col>2</xdr:col>
                    <xdr:colOff>723900</xdr:colOff>
                    <xdr:row>99</xdr:row>
                    <xdr:rowOff>0</xdr:rowOff>
                  </to>
                </anchor>
              </controlPr>
            </control>
          </mc:Choice>
        </mc:AlternateContent>
        <mc:AlternateContent xmlns:mc="http://schemas.openxmlformats.org/markup-compatibility/2006">
          <mc:Choice Requires="x14">
            <control shapeId="83993" r:id="rId28" name="Check Box 25">
              <controlPr defaultSize="0" autoFill="0" autoLine="0" autoPict="0">
                <anchor moveWithCells="1">
                  <from>
                    <xdr:col>2</xdr:col>
                    <xdr:colOff>514350</xdr:colOff>
                    <xdr:row>98</xdr:row>
                    <xdr:rowOff>180975</xdr:rowOff>
                  </from>
                  <to>
                    <xdr:col>2</xdr:col>
                    <xdr:colOff>723900</xdr:colOff>
                    <xdr:row>100</xdr:row>
                    <xdr:rowOff>9525</xdr:rowOff>
                  </to>
                </anchor>
              </controlPr>
            </control>
          </mc:Choice>
        </mc:AlternateContent>
        <mc:AlternateContent xmlns:mc="http://schemas.openxmlformats.org/markup-compatibility/2006">
          <mc:Choice Requires="x14">
            <control shapeId="83994" r:id="rId29" name="Check Box 26">
              <controlPr defaultSize="0" autoFill="0" autoLine="0" autoPict="0">
                <anchor moveWithCells="1">
                  <from>
                    <xdr:col>2</xdr:col>
                    <xdr:colOff>514350</xdr:colOff>
                    <xdr:row>94</xdr:row>
                    <xdr:rowOff>180975</xdr:rowOff>
                  </from>
                  <to>
                    <xdr:col>2</xdr:col>
                    <xdr:colOff>723900</xdr:colOff>
                    <xdr:row>96</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C88AF-6F83-4996-87B7-91B5384EB92D}">
  <sheetPr>
    <pageSetUpPr fitToPage="1"/>
  </sheetPr>
  <dimension ref="B2:S51"/>
  <sheetViews>
    <sheetView zoomScale="70" zoomScaleNormal="70" workbookViewId="0">
      <selection activeCell="F17" sqref="F17"/>
    </sheetView>
  </sheetViews>
  <sheetFormatPr baseColWidth="10" defaultColWidth="10.625" defaultRowHeight="12.75" x14ac:dyDescent="0.2"/>
  <cols>
    <col min="1" max="1" width="2.875" style="333" customWidth="1"/>
    <col min="2" max="2" width="3.375" style="333" customWidth="1"/>
    <col min="3" max="3" width="25.375" style="333" customWidth="1"/>
    <col min="4" max="4" width="2" style="333" customWidth="1"/>
    <col min="5" max="5" width="105.625" style="333" customWidth="1"/>
    <col min="6" max="6" width="255.625" style="333" bestFit="1" customWidth="1"/>
    <col min="7" max="7" width="3.625" style="333" customWidth="1"/>
    <col min="8" max="18" width="10.625" style="333"/>
    <col min="19" max="19" width="44.625" style="333" customWidth="1"/>
    <col min="20" max="16384" width="10.625" style="333"/>
  </cols>
  <sheetData>
    <row r="2" spans="2:19" s="325" customFormat="1" ht="23.25" x14ac:dyDescent="0.35">
      <c r="C2" s="194"/>
      <c r="D2" s="326"/>
      <c r="E2" s="326"/>
      <c r="F2" s="326"/>
      <c r="G2" s="326"/>
    </row>
    <row r="3" spans="2:19" s="325" customFormat="1" x14ac:dyDescent="0.2">
      <c r="B3" s="327"/>
      <c r="C3" s="328"/>
      <c r="D3" s="328"/>
      <c r="E3" s="328"/>
      <c r="F3" s="328"/>
      <c r="G3" s="328"/>
    </row>
    <row r="4" spans="2:19" s="325" customFormat="1" ht="18.75" x14ac:dyDescent="0.2">
      <c r="B4" s="327"/>
      <c r="C4" s="329" t="s">
        <v>143</v>
      </c>
      <c r="D4" s="329"/>
      <c r="E4" s="330"/>
      <c r="F4" s="330"/>
      <c r="G4" s="328"/>
    </row>
    <row r="5" spans="2:19" x14ac:dyDescent="0.2">
      <c r="B5" s="331"/>
      <c r="C5" s="330"/>
      <c r="D5" s="330"/>
      <c r="E5" s="330"/>
      <c r="F5" s="330"/>
      <c r="G5" s="332"/>
    </row>
    <row r="6" spans="2:19" s="337" customFormat="1" ht="15" x14ac:dyDescent="0.2">
      <c r="B6" s="334"/>
      <c r="C6" s="335" t="s">
        <v>144</v>
      </c>
      <c r="D6" s="335"/>
      <c r="E6" s="335" t="s">
        <v>145</v>
      </c>
      <c r="F6" s="335" t="s">
        <v>346</v>
      </c>
      <c r="G6" s="336"/>
    </row>
    <row r="7" spans="2:19" x14ac:dyDescent="0.2">
      <c r="B7" s="331"/>
      <c r="C7" s="332"/>
      <c r="D7" s="332"/>
      <c r="E7" s="332"/>
      <c r="F7" s="332"/>
      <c r="G7" s="332"/>
    </row>
    <row r="8" spans="2:19" x14ac:dyDescent="0.2">
      <c r="B8" s="331"/>
      <c r="C8" s="338"/>
      <c r="D8" s="338"/>
      <c r="E8" s="338"/>
      <c r="F8" s="338"/>
      <c r="G8" s="332"/>
    </row>
    <row r="9" spans="2:19" s="342" customFormat="1" ht="25.5" x14ac:dyDescent="0.2">
      <c r="B9" s="339"/>
      <c r="C9" s="339" t="s">
        <v>420</v>
      </c>
      <c r="D9" s="339"/>
      <c r="E9" s="340" t="s">
        <v>421</v>
      </c>
      <c r="F9" s="341" t="s">
        <v>395</v>
      </c>
      <c r="G9" s="339"/>
    </row>
    <row r="10" spans="2:19" s="345" customFormat="1" ht="25.5" x14ac:dyDescent="0.2">
      <c r="B10" s="343"/>
      <c r="C10" s="340" t="s">
        <v>411</v>
      </c>
      <c r="D10" s="339"/>
      <c r="E10" s="340" t="s">
        <v>422</v>
      </c>
      <c r="F10" s="344" t="s">
        <v>385</v>
      </c>
      <c r="G10" s="343"/>
      <c r="S10" s="346"/>
    </row>
    <row r="11" spans="2:19" s="342" customFormat="1" x14ac:dyDescent="0.2">
      <c r="B11" s="339"/>
      <c r="C11" s="340" t="s">
        <v>410</v>
      </c>
      <c r="D11" s="339"/>
      <c r="E11" s="340" t="s">
        <v>423</v>
      </c>
      <c r="F11" s="344" t="s">
        <v>385</v>
      </c>
      <c r="G11" s="339"/>
    </row>
    <row r="12" spans="2:19" x14ac:dyDescent="0.2">
      <c r="B12" s="331"/>
      <c r="C12" s="331" t="s">
        <v>371</v>
      </c>
      <c r="D12" s="331"/>
      <c r="E12" s="347" t="s">
        <v>375</v>
      </c>
      <c r="F12" s="341"/>
      <c r="G12" s="331"/>
    </row>
    <row r="13" spans="2:19" x14ac:dyDescent="0.2">
      <c r="B13" s="331"/>
      <c r="C13" s="331" t="s">
        <v>296</v>
      </c>
      <c r="D13" s="331"/>
      <c r="E13" s="347" t="s">
        <v>351</v>
      </c>
      <c r="F13" s="341"/>
      <c r="G13" s="331"/>
    </row>
    <row r="14" spans="2:19" s="342" customFormat="1" x14ac:dyDescent="0.2">
      <c r="B14" s="339"/>
      <c r="C14" s="339" t="s">
        <v>400</v>
      </c>
      <c r="D14" s="339"/>
      <c r="E14" s="340" t="s">
        <v>424</v>
      </c>
      <c r="F14" s="341" t="s">
        <v>376</v>
      </c>
      <c r="G14" s="339"/>
    </row>
    <row r="15" spans="2:19" s="342" customFormat="1" ht="25.5" x14ac:dyDescent="0.2">
      <c r="B15" s="339"/>
      <c r="C15" s="339" t="s">
        <v>401</v>
      </c>
      <c r="D15" s="339"/>
      <c r="E15" s="340" t="s">
        <v>425</v>
      </c>
      <c r="F15" s="341" t="s">
        <v>376</v>
      </c>
      <c r="G15" s="339"/>
    </row>
    <row r="16" spans="2:19" s="342" customFormat="1" x14ac:dyDescent="0.2">
      <c r="B16" s="339"/>
      <c r="C16" s="339" t="s">
        <v>402</v>
      </c>
      <c r="D16" s="339"/>
      <c r="E16" s="340" t="s">
        <v>426</v>
      </c>
      <c r="F16" s="341" t="s">
        <v>376</v>
      </c>
      <c r="G16" s="339"/>
    </row>
    <row r="17" spans="2:19" s="342" customFormat="1" x14ac:dyDescent="0.2">
      <c r="B17" s="339"/>
      <c r="C17" s="339" t="s">
        <v>403</v>
      </c>
      <c r="D17" s="339"/>
      <c r="E17" s="340" t="s">
        <v>427</v>
      </c>
      <c r="F17" s="341" t="s">
        <v>376</v>
      </c>
      <c r="G17" s="339"/>
    </row>
    <row r="18" spans="2:19" s="342" customFormat="1" x14ac:dyDescent="0.2">
      <c r="B18" s="339"/>
      <c r="C18" s="339" t="s">
        <v>404</v>
      </c>
      <c r="D18" s="339"/>
      <c r="E18" s="340" t="s">
        <v>428</v>
      </c>
      <c r="F18" s="341" t="s">
        <v>376</v>
      </c>
      <c r="G18" s="339"/>
    </row>
    <row r="19" spans="2:19" s="342" customFormat="1" ht="25.5" x14ac:dyDescent="0.2">
      <c r="B19" s="339"/>
      <c r="C19" s="339" t="s">
        <v>396</v>
      </c>
      <c r="D19" s="339"/>
      <c r="E19" s="340" t="s">
        <v>429</v>
      </c>
      <c r="F19" s="341" t="s">
        <v>430</v>
      </c>
      <c r="G19" s="339"/>
    </row>
    <row r="20" spans="2:19" s="342" customFormat="1" x14ac:dyDescent="0.2">
      <c r="B20" s="339"/>
      <c r="C20" s="339" t="s">
        <v>461</v>
      </c>
      <c r="D20" s="339"/>
      <c r="E20" s="340" t="s">
        <v>460</v>
      </c>
      <c r="F20" s="341"/>
      <c r="G20" s="339"/>
    </row>
    <row r="21" spans="2:19" s="342" customFormat="1" x14ac:dyDescent="0.2">
      <c r="B21" s="339"/>
      <c r="C21" s="339" t="s">
        <v>486</v>
      </c>
      <c r="D21" s="348"/>
      <c r="E21" s="348" t="s">
        <v>487</v>
      </c>
      <c r="F21" s="349" t="s">
        <v>485</v>
      </c>
      <c r="G21" s="339"/>
    </row>
    <row r="22" spans="2:19" s="342" customFormat="1" x14ac:dyDescent="0.2">
      <c r="B22" s="339"/>
      <c r="C22" s="339" t="s">
        <v>419</v>
      </c>
      <c r="D22" s="348"/>
      <c r="E22" s="348" t="s">
        <v>431</v>
      </c>
      <c r="F22" s="349" t="s">
        <v>387</v>
      </c>
      <c r="G22" s="339"/>
    </row>
    <row r="23" spans="2:19" s="351" customFormat="1" ht="14.25" x14ac:dyDescent="0.2">
      <c r="B23" s="340"/>
      <c r="C23" s="339" t="s">
        <v>432</v>
      </c>
      <c r="D23" s="348"/>
      <c r="E23" s="348" t="s">
        <v>393</v>
      </c>
      <c r="F23" s="350" t="s">
        <v>389</v>
      </c>
      <c r="G23" s="340"/>
    </row>
    <row r="24" spans="2:19" s="342" customFormat="1" x14ac:dyDescent="0.2">
      <c r="B24" s="339"/>
      <c r="C24" s="339" t="s">
        <v>432</v>
      </c>
      <c r="D24" s="348"/>
      <c r="E24" s="348" t="s">
        <v>456</v>
      </c>
      <c r="F24" s="344" t="s">
        <v>390</v>
      </c>
      <c r="G24" s="339"/>
    </row>
    <row r="25" spans="2:19" s="342" customFormat="1" ht="14.25" x14ac:dyDescent="0.2">
      <c r="B25" s="339"/>
      <c r="C25" s="339" t="s">
        <v>432</v>
      </c>
      <c r="D25" s="348"/>
      <c r="E25" s="348" t="s">
        <v>457</v>
      </c>
      <c r="F25" s="350" t="s">
        <v>391</v>
      </c>
      <c r="G25" s="349"/>
    </row>
    <row r="26" spans="2:19" s="345" customFormat="1" x14ac:dyDescent="0.2">
      <c r="B26" s="343"/>
      <c r="C26" s="339" t="s">
        <v>432</v>
      </c>
      <c r="D26" s="348"/>
      <c r="E26" s="348" t="s">
        <v>458</v>
      </c>
      <c r="F26" s="344" t="s">
        <v>392</v>
      </c>
      <c r="G26" s="352"/>
    </row>
    <row r="27" spans="2:19" x14ac:dyDescent="0.2">
      <c r="B27" s="331"/>
      <c r="C27" s="339" t="s">
        <v>433</v>
      </c>
      <c r="D27" s="340"/>
      <c r="E27" s="348" t="s">
        <v>383</v>
      </c>
      <c r="F27" s="353" t="s">
        <v>384</v>
      </c>
      <c r="G27" s="331"/>
    </row>
    <row r="28" spans="2:19" s="345" customFormat="1" x14ac:dyDescent="0.2">
      <c r="B28" s="343"/>
      <c r="C28" s="339" t="s">
        <v>434</v>
      </c>
      <c r="D28" s="339"/>
      <c r="E28" s="340" t="s">
        <v>381</v>
      </c>
      <c r="F28" s="349" t="s">
        <v>382</v>
      </c>
      <c r="G28" s="331"/>
    </row>
    <row r="29" spans="2:19" s="345" customFormat="1" x14ac:dyDescent="0.2">
      <c r="B29" s="343"/>
      <c r="C29" s="339" t="s">
        <v>409</v>
      </c>
      <c r="D29" s="339"/>
      <c r="E29" s="340" t="s">
        <v>59</v>
      </c>
      <c r="F29" s="349" t="s">
        <v>386</v>
      </c>
      <c r="G29" s="343"/>
    </row>
    <row r="30" spans="2:19" s="342" customFormat="1" ht="89.25" x14ac:dyDescent="0.2">
      <c r="B30" s="339"/>
      <c r="C30" s="339" t="s">
        <v>412</v>
      </c>
      <c r="D30" s="339"/>
      <c r="E30" s="340" t="s">
        <v>435</v>
      </c>
      <c r="F30" s="349"/>
      <c r="G30" s="339"/>
    </row>
    <row r="31" spans="2:19" s="342" customFormat="1" ht="38.25" x14ac:dyDescent="0.2">
      <c r="B31" s="339"/>
      <c r="C31" s="339" t="s">
        <v>405</v>
      </c>
      <c r="D31" s="339"/>
      <c r="E31" s="340" t="s">
        <v>436</v>
      </c>
      <c r="F31" s="349" t="s">
        <v>377</v>
      </c>
      <c r="G31" s="339"/>
      <c r="S31" s="354"/>
    </row>
    <row r="32" spans="2:19" s="342" customFormat="1" x14ac:dyDescent="0.2">
      <c r="B32" s="339"/>
      <c r="C32" s="339" t="s">
        <v>305</v>
      </c>
      <c r="D32" s="340"/>
      <c r="E32" s="348" t="s">
        <v>367</v>
      </c>
      <c r="F32" s="355" t="s">
        <v>370</v>
      </c>
      <c r="G32" s="349"/>
      <c r="S32" s="354"/>
    </row>
    <row r="33" spans="2:19" s="342" customFormat="1" x14ac:dyDescent="0.2">
      <c r="B33" s="339"/>
      <c r="C33" s="339" t="s">
        <v>306</v>
      </c>
      <c r="D33" s="340"/>
      <c r="E33" s="356" t="s">
        <v>368</v>
      </c>
      <c r="F33" s="353" t="s">
        <v>370</v>
      </c>
      <c r="G33" s="339"/>
      <c r="S33" s="354"/>
    </row>
    <row r="34" spans="2:19" s="342" customFormat="1" x14ac:dyDescent="0.2">
      <c r="B34" s="339"/>
      <c r="C34" s="339" t="s">
        <v>307</v>
      </c>
      <c r="D34" s="339"/>
      <c r="E34" s="340" t="s">
        <v>369</v>
      </c>
      <c r="F34" s="341" t="s">
        <v>370</v>
      </c>
      <c r="G34" s="339"/>
    </row>
    <row r="35" spans="2:19" s="342" customFormat="1" ht="25.5" x14ac:dyDescent="0.2">
      <c r="B35" s="339"/>
      <c r="C35" s="339" t="s">
        <v>437</v>
      </c>
      <c r="D35" s="343"/>
      <c r="E35" s="348" t="s">
        <v>438</v>
      </c>
      <c r="F35" s="344" t="s">
        <v>388</v>
      </c>
      <c r="G35" s="339"/>
    </row>
    <row r="36" spans="2:19" s="342" customFormat="1" ht="25.5" x14ac:dyDescent="0.2">
      <c r="B36" s="339"/>
      <c r="C36" s="339" t="s">
        <v>439</v>
      </c>
      <c r="D36" s="343"/>
      <c r="E36" s="348" t="s">
        <v>440</v>
      </c>
      <c r="F36" s="344" t="s">
        <v>388</v>
      </c>
      <c r="G36" s="339"/>
    </row>
    <row r="37" spans="2:19" s="342" customFormat="1" ht="25.5" x14ac:dyDescent="0.2">
      <c r="B37" s="339"/>
      <c r="C37" s="339" t="s">
        <v>441</v>
      </c>
      <c r="D37" s="343"/>
      <c r="E37" s="348" t="s">
        <v>442</v>
      </c>
      <c r="F37" s="344" t="s">
        <v>388</v>
      </c>
      <c r="G37" s="339"/>
    </row>
    <row r="38" spans="2:19" s="342" customFormat="1" x14ac:dyDescent="0.2">
      <c r="B38" s="339"/>
      <c r="C38" s="339" t="s">
        <v>365</v>
      </c>
      <c r="D38" s="339"/>
      <c r="E38" s="340" t="s">
        <v>352</v>
      </c>
      <c r="F38" s="349" t="s">
        <v>302</v>
      </c>
      <c r="G38" s="339"/>
    </row>
    <row r="39" spans="2:19" s="342" customFormat="1" x14ac:dyDescent="0.2">
      <c r="B39" s="339"/>
      <c r="C39" s="339" t="s">
        <v>366</v>
      </c>
      <c r="D39" s="339"/>
      <c r="E39" s="340" t="s">
        <v>354</v>
      </c>
      <c r="F39" s="341" t="s">
        <v>353</v>
      </c>
      <c r="G39" s="339"/>
    </row>
    <row r="40" spans="2:19" s="345" customFormat="1" x14ac:dyDescent="0.2">
      <c r="B40" s="343"/>
      <c r="C40" s="340" t="s">
        <v>363</v>
      </c>
      <c r="D40" s="340"/>
      <c r="E40" s="340" t="s">
        <v>357</v>
      </c>
      <c r="F40" s="349" t="s">
        <v>358</v>
      </c>
      <c r="G40" s="343"/>
    </row>
    <row r="41" spans="2:19" s="342" customFormat="1" x14ac:dyDescent="0.2">
      <c r="B41" s="339"/>
      <c r="C41" s="339" t="s">
        <v>364</v>
      </c>
      <c r="D41" s="339"/>
      <c r="E41" s="340" t="s">
        <v>349</v>
      </c>
      <c r="F41" s="349" t="s">
        <v>348</v>
      </c>
      <c r="G41" s="339"/>
    </row>
    <row r="42" spans="2:19" s="342" customFormat="1" x14ac:dyDescent="0.2">
      <c r="B42" s="339"/>
      <c r="C42" s="339" t="s">
        <v>361</v>
      </c>
      <c r="D42" s="339"/>
      <c r="E42" s="340" t="s">
        <v>359</v>
      </c>
      <c r="F42" s="341" t="s">
        <v>347</v>
      </c>
      <c r="G42" s="339"/>
      <c r="S42" s="354"/>
    </row>
    <row r="43" spans="2:19" s="342" customFormat="1" x14ac:dyDescent="0.2">
      <c r="B43" s="339"/>
      <c r="C43" s="339" t="s">
        <v>362</v>
      </c>
      <c r="D43" s="339"/>
      <c r="E43" s="340" t="s">
        <v>360</v>
      </c>
      <c r="F43" s="349" t="s">
        <v>350</v>
      </c>
      <c r="G43" s="339"/>
    </row>
    <row r="44" spans="2:19" s="345" customFormat="1" ht="25.5" x14ac:dyDescent="0.2">
      <c r="B44" s="343"/>
      <c r="C44" s="339" t="s">
        <v>398</v>
      </c>
      <c r="D44" s="339"/>
      <c r="E44" s="340" t="s">
        <v>443</v>
      </c>
      <c r="F44" s="357" t="s">
        <v>378</v>
      </c>
      <c r="G44" s="343"/>
    </row>
    <row r="45" spans="2:19" s="342" customFormat="1" ht="25.5" x14ac:dyDescent="0.2">
      <c r="B45" s="339"/>
      <c r="C45" s="339" t="s">
        <v>100</v>
      </c>
      <c r="D45" s="339"/>
      <c r="E45" s="340" t="s">
        <v>373</v>
      </c>
      <c r="F45" s="341" t="s">
        <v>374</v>
      </c>
      <c r="G45" s="339"/>
    </row>
    <row r="46" spans="2:19" x14ac:dyDescent="0.2">
      <c r="B46" s="331"/>
      <c r="C46" s="331"/>
      <c r="D46" s="331"/>
      <c r="E46" s="331"/>
      <c r="F46" s="341"/>
      <c r="G46" s="341"/>
    </row>
    <row r="49" spans="3:4" x14ac:dyDescent="0.2">
      <c r="C49" s="154"/>
      <c r="D49" s="154"/>
    </row>
    <row r="50" spans="3:4" x14ac:dyDescent="0.2">
      <c r="C50" s="358"/>
      <c r="D50" s="358"/>
    </row>
    <row r="51" spans="3:4" x14ac:dyDescent="0.2">
      <c r="C51" s="359"/>
      <c r="D51" s="359"/>
    </row>
  </sheetData>
  <sheetProtection algorithmName="SHA-512" hashValue="RU6t+5ULcf07F7HKV0U99we68IACyFSQ/akCWIh625IkuiujPZVcKWnH06UzncuPKLb/5sNrK8LOr6VFfcuXCA==" saltValue="+Nf8Sdegqavms6N79M5Akg==" spinCount="100000" sheet="1" objects="1" scenarios="1" selectLockedCells="1"/>
  <sortState xmlns:xlrd2="http://schemas.microsoft.com/office/spreadsheetml/2017/richdata2" ref="C9:F45">
    <sortCondition ref="C9:C45"/>
  </sortState>
  <phoneticPr fontId="22" type="noConversion"/>
  <conditionalFormatting sqref="C9:F45">
    <cfRule type="expression" dxfId="0" priority="1">
      <formula>MOD(ROW(),2)=0</formula>
    </cfRule>
  </conditionalFormatting>
  <conditionalFormatting sqref="D41:D43">
    <cfRule type="expression" priority="11">
      <formula>MOD(COLUMN(),2)=0</formula>
    </cfRule>
  </conditionalFormatting>
  <conditionalFormatting sqref="D39:E39">
    <cfRule type="expression" priority="9">
      <formula>MOD(COLUMN(),2)=0</formula>
    </cfRule>
  </conditionalFormatting>
  <conditionalFormatting sqref="D24:F25">
    <cfRule type="expression" priority="7">
      <formula>MOD(COLUMN(),2)=0</formula>
    </cfRule>
  </conditionalFormatting>
  <conditionalFormatting sqref="D34:F36">
    <cfRule type="expression" priority="15">
      <formula>MOD(COLUMN(),2)=0</formula>
    </cfRule>
  </conditionalFormatting>
  <conditionalFormatting sqref="E40:E43">
    <cfRule type="expression" priority="2">
      <formula>MOD(COLUMN(),2)=0</formula>
    </cfRule>
  </conditionalFormatting>
  <hyperlinks>
    <hyperlink ref="F42" r:id="rId1" location="abreadcrumb" display="https://www-genesis.destatis.de/genesis/online?operation=abruftabelleBearbeiten&amp;levelindex=1&amp;levelid=1662640912503&amp;auswahloperation=abruftabelleAuspraegungAuswaehlen&amp;auswahlverzeichnis=ordnungsstruktur&amp;auswahlziel=werteabruf&amp;code=61243-0011&amp;auswahltext=&amp;werteabruf=starten#abreadcrumb" xr:uid="{3F16D454-5BF9-4CE1-87B3-7E1E6A2C95D2}"/>
    <hyperlink ref="F39" r:id="rId2" xr:uid="{49C6EC66-8A55-4161-B79A-5FBC34410E11}"/>
    <hyperlink ref="F23" r:id="rId3" xr:uid="{FE0ECAE5-3B9C-4909-993C-B9580CEBC31F}"/>
    <hyperlink ref="F24" r:id="rId4" xr:uid="{082E78CB-6755-43C3-A2FE-F56C138D84B8}"/>
    <hyperlink ref="F25" r:id="rId5" xr:uid="{45398287-B5E0-4FE8-84FE-27406228BB39}"/>
    <hyperlink ref="F26" r:id="rId6" xr:uid="{F0B244EC-F5B6-48E0-BDE5-1B24DB97915C}"/>
    <hyperlink ref="F19" r:id="rId7" xr:uid="{5B1E7CD3-0225-4B2F-AF6B-0416FFD17277}"/>
    <hyperlink ref="F44" r:id="rId8" xr:uid="{B4F91AFC-5DD7-45F5-BE06-694662D3E6B4}"/>
  </hyperlinks>
  <printOptions horizontalCentered="1"/>
  <pageMargins left="0.39370078740157483" right="0.39370078740157483" top="0.39370078740157483" bottom="0.59055118110236227" header="0.19685039370078741" footer="0.19685039370078741"/>
  <pageSetup paperSize="9" orientation="landscape" verticalDpi="601"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B710-4DCA-4F5C-840D-5F338B8717DD}">
  <sheetPr>
    <pageSetUpPr fitToPage="1"/>
  </sheetPr>
  <dimension ref="A1"/>
  <sheetViews>
    <sheetView zoomScale="90" zoomScaleNormal="90" workbookViewId="0">
      <selection activeCell="P41" sqref="P41"/>
    </sheetView>
  </sheetViews>
  <sheetFormatPr baseColWidth="10" defaultColWidth="9" defaultRowHeight="12.75" x14ac:dyDescent="0.2"/>
  <cols>
    <col min="1" max="16384" width="9" style="1"/>
  </cols>
  <sheetData/>
  <sheetProtection algorithmName="SHA-512" hashValue="7rGXBoYcTqZD3P9uTFyNNVbI8XtP9o7eIBJPQJ2TNT/26BBEBRrwbT8zIk+0PFYggX/ATNY33WFvow+bIPOlbQ==" saltValue="bFO9BqyTTPcCnEwsh5O29g==" spinCount="100000" sheet="1" objects="1" scenarios="1" selectLockedCells="1" selectUnlockedCells="1"/>
  <printOptions horizontalCentered="1"/>
  <pageMargins left="0.39370078740157483" right="0.39370078740157483" top="0.39370078740157483" bottom="0.59055118110236227" header="0.19685039370078741" footer="0.19685039370078741"/>
  <pageSetup paperSize="9" orientation="landscape" verticalDpi="60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F8DD-21A8-404A-AEF1-E43B96E10CE2}">
  <sheetPr>
    <pageSetUpPr fitToPage="1"/>
  </sheetPr>
  <dimension ref="A1:C15"/>
  <sheetViews>
    <sheetView workbookViewId="0">
      <selection activeCell="B4" sqref="B4:B6"/>
    </sheetView>
  </sheetViews>
  <sheetFormatPr baseColWidth="10" defaultColWidth="9" defaultRowHeight="12.75" x14ac:dyDescent="0.2"/>
  <cols>
    <col min="1" max="16384" width="9" style="1"/>
  </cols>
  <sheetData>
    <row r="1" spans="1:3" x14ac:dyDescent="0.2">
      <c r="A1" s="100"/>
      <c r="B1" s="100"/>
      <c r="C1" s="100"/>
    </row>
    <row r="2" spans="1:3" x14ac:dyDescent="0.2">
      <c r="A2" s="100"/>
      <c r="B2" s="100"/>
      <c r="C2" s="100"/>
    </row>
    <row r="3" spans="1:3" x14ac:dyDescent="0.2">
      <c r="A3" s="100"/>
      <c r="B3" s="100"/>
      <c r="C3" s="100"/>
    </row>
    <row r="4" spans="1:3" x14ac:dyDescent="0.2">
      <c r="A4" s="100"/>
      <c r="B4" s="100" t="s">
        <v>111</v>
      </c>
      <c r="C4" s="100"/>
    </row>
    <row r="5" spans="1:3" x14ac:dyDescent="0.2">
      <c r="A5" s="100"/>
      <c r="B5" s="100" t="s">
        <v>112</v>
      </c>
      <c r="C5" s="100"/>
    </row>
    <row r="6" spans="1:3" x14ac:dyDescent="0.2">
      <c r="A6" s="100"/>
      <c r="B6" s="100" t="s">
        <v>113</v>
      </c>
      <c r="C6" s="100"/>
    </row>
    <row r="7" spans="1:3" x14ac:dyDescent="0.2">
      <c r="A7" s="100"/>
      <c r="B7" s="100"/>
      <c r="C7" s="100"/>
    </row>
    <row r="8" spans="1:3" x14ac:dyDescent="0.2">
      <c r="A8" s="100"/>
      <c r="B8" s="100"/>
      <c r="C8" s="100"/>
    </row>
    <row r="12" spans="1:3" x14ac:dyDescent="0.2">
      <c r="B12" s="1" t="s">
        <v>32</v>
      </c>
    </row>
    <row r="13" spans="1:3" x14ac:dyDescent="0.2">
      <c r="B13" s="1" t="s">
        <v>33</v>
      </c>
    </row>
    <row r="14" spans="1:3" x14ac:dyDescent="0.2">
      <c r="B14" s="1" t="s">
        <v>125</v>
      </c>
    </row>
    <row r="15" spans="1:3" x14ac:dyDescent="0.2">
      <c r="B15" s="1" t="s">
        <v>132</v>
      </c>
    </row>
  </sheetData>
  <printOptions horizontalCentered="1"/>
  <pageMargins left="0.39370078740157483" right="0.39370078740157483" top="0.39370078740157483" bottom="0.59055118110236227" header="0.19685039370078741" footer="0.19685039370078741"/>
  <pageSetup paperSize="9" orientation="landscape" verticalDpi="60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Impressum</vt:lpstr>
      <vt:lpstr>Referenz Pflasterwerk</vt:lpstr>
      <vt:lpstr>Eingabe Preise</vt:lpstr>
      <vt:lpstr>Default Preise</vt:lpstr>
      <vt:lpstr>Eingabe EF</vt:lpstr>
      <vt:lpstr>Default EF</vt:lpstr>
      <vt:lpstr>M1 Härtekammern</vt:lpstr>
      <vt:lpstr>M2 Fuhrpark</vt:lpstr>
      <vt:lpstr>M3 Effizienz Stapler</vt:lpstr>
      <vt:lpstr>M4 Grünstrom</vt:lpstr>
      <vt:lpstr>M5 PV-Anlage</vt:lpstr>
      <vt:lpstr>M6 allgemeine Effizienz</vt:lpstr>
      <vt:lpstr>M7 Rezeptur, Einsatzmenge</vt:lpstr>
      <vt:lpstr>M8 Rezeptur, geringerer EF</vt:lpstr>
      <vt:lpstr>M9 Rezeptur, Recycling</vt:lpstr>
      <vt:lpstr>Quellen</vt:lpstr>
      <vt:lpstr>Lizenzbedingungen Ecoinvent</vt:lpstr>
      <vt:lpstr>Drop-Down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2023-09-13T11:55:08Z</dcterms:modified>
</cp:coreProperties>
</file>